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SNAP\SNAP E&amp;T\E&amp;T State Plan\"/>
    </mc:Choice>
  </mc:AlternateContent>
  <xr:revisionPtr revIDLastSave="0" documentId="8_{0738148E-82C4-4CF7-A0C6-E598202A2EED}" xr6:coauthVersionLast="47" xr6:coauthVersionMax="47" xr10:uidLastSave="{00000000-0000-0000-0000-000000000000}"/>
  <bookViews>
    <workbookView xWindow="-108" yWindow="-108" windowWidth="23256" windowHeight="12576"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9" l="1"/>
  <c r="I31" i="9"/>
  <c r="I32" i="9"/>
  <c r="I33" i="9"/>
  <c r="I34" i="9"/>
  <c r="I35" i="9"/>
  <c r="I30" i="9"/>
  <c r="I24" i="9"/>
  <c r="I25" i="9"/>
  <c r="I26" i="9"/>
  <c r="I27" i="9"/>
  <c r="I23" i="9"/>
  <c r="I13" i="9"/>
  <c r="I14" i="9"/>
  <c r="I15" i="9"/>
  <c r="I16" i="9"/>
  <c r="I17" i="9"/>
  <c r="I18" i="9"/>
  <c r="I19" i="9"/>
  <c r="I20" i="9"/>
  <c r="I12" i="9"/>
  <c r="I9" i="9"/>
  <c r="I8" i="9"/>
  <c r="AE1" i="11"/>
  <c r="D28" i="2" l="1"/>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W37" i="5"/>
  <c r="V37" i="5"/>
  <c r="U37" i="5"/>
  <c r="T37" i="5"/>
  <c r="X37" i="5" s="1"/>
  <c r="Q37" i="5"/>
  <c r="P37" i="5"/>
  <c r="O37" i="5"/>
  <c r="N37" i="5"/>
  <c r="W36" i="5"/>
  <c r="V36" i="5"/>
  <c r="U36" i="5"/>
  <c r="T36" i="5"/>
  <c r="X36" i="5" s="1"/>
  <c r="Q36" i="5"/>
  <c r="P36" i="5"/>
  <c r="O36" i="5"/>
  <c r="N36" i="5"/>
  <c r="W35" i="5"/>
  <c r="V35" i="5"/>
  <c r="U35" i="5"/>
  <c r="T35" i="5"/>
  <c r="Q35" i="5"/>
  <c r="P35" i="5"/>
  <c r="O35" i="5"/>
  <c r="N35" i="5"/>
  <c r="W34" i="5"/>
  <c r="V34" i="5"/>
  <c r="U34" i="5"/>
  <c r="T34" i="5"/>
  <c r="X34" i="5" s="1"/>
  <c r="Q34" i="5"/>
  <c r="P34" i="5"/>
  <c r="O34" i="5"/>
  <c r="N34" i="5"/>
  <c r="W33" i="5"/>
  <c r="V33" i="5"/>
  <c r="U33" i="5"/>
  <c r="T33" i="5"/>
  <c r="Q33" i="5"/>
  <c r="P33" i="5"/>
  <c r="O33" i="5"/>
  <c r="N33" i="5"/>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Q27" i="5"/>
  <c r="P27" i="5"/>
  <c r="O27" i="5"/>
  <c r="N27" i="5"/>
  <c r="R27" i="5" s="1"/>
  <c r="R35" i="5" l="1"/>
  <c r="R36" i="5"/>
  <c r="R37" i="5"/>
  <c r="R38" i="5"/>
  <c r="R34" i="5"/>
  <c r="X35" i="5"/>
  <c r="X33" i="5"/>
  <c r="R33" i="5"/>
  <c r="X27"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Q4" i="5" l="1"/>
  <c r="O4" i="5"/>
  <c r="P4" i="5"/>
  <c r="U4" i="5"/>
  <c r="V4" i="5"/>
  <c r="W4" i="5"/>
  <c r="N4" i="5"/>
  <c r="T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X4" i="5" l="1"/>
  <c r="O14" i="3"/>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G6" i="7" s="1"/>
  <c r="Q120" i="6" l="1"/>
  <c r="P120" i="6"/>
  <c r="O120" i="6"/>
  <c r="N120" i="6"/>
  <c r="M120" i="6"/>
  <c r="L120" i="6"/>
  <c r="K120" i="6"/>
  <c r="J120" i="6"/>
  <c r="I120" i="6"/>
  <c r="H120" i="6"/>
  <c r="G120" i="6"/>
  <c r="F120" i="6"/>
  <c r="E120" i="6"/>
  <c r="D120" i="6"/>
  <c r="C120" i="6"/>
  <c r="B120" i="6"/>
  <c r="F117" i="7"/>
  <c r="E117" i="7"/>
  <c r="D117" i="7"/>
  <c r="G117" i="7"/>
  <c r="O16" i="3" l="1"/>
  <c r="O9" i="3"/>
  <c r="O4" i="3"/>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F4" i="5" s="1"/>
  <c r="C5" i="2"/>
  <c r="C9" i="2" l="1"/>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s="1"/>
  <c r="C16" i="2" l="1"/>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 r="J4" i="5" l="1"/>
  <c r="J10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tc={1449322B-A6E4-4A47-B39C-692B62C0CB3E}</author>
    <author>tc={6DB0B3BE-9CF4-42AD-AED7-5DEB6C29CCF9}</author>
    <author>tc={77431ECA-A348-4343-988A-0848F830144F}</author>
    <author>tc={9C7A0770-23BE-41F3-AA33-9971FD7B82E2}</author>
  </authors>
  <commentList>
    <comment ref="E6" authorId="0" shapeId="0" xr:uid="{1449322B-A6E4-4A47-B39C-692B62C0CB3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Cumulative total number of work registrants as of June 2024 WR 5670 report.</t>
        </r>
      </text>
    </comment>
    <comment ref="E15" authorId="1" shapeId="0" xr:uid="{6DB0B3BE-9CF4-42AD-AED7-5DEB6C29CC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RM 7 report</t>
        </r>
      </text>
    </comment>
    <comment ref="E21" authorId="2" shapeId="0" xr:uid="{77431ECA-A348-4343-988A-0848F830144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Last year's budget was based on 25% of the anticipated number of work registrants. The same logic is used here. to arrive at 15560</t>
        </r>
      </text>
    </comment>
    <comment ref="E25" authorId="3" shapeId="0" xr:uid="{9C7A0770-23BE-41F3-AA33-9971FD7B82E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Arrived at this number by taking the average of last 9 months in order  to project the remaining 3 months for a total year anticipated calculation average.  (Pulled from SDW reports) 
Reply:
    I think this should be the average over the 12 months, haven included the July, Aug, Sept average figures. Almost all the clients might receive the reimbursement monthly as recurring. Sorry if i misled you in the email. Last year's budget sheet was 800 at 5%</t>
        </r>
      </text>
    </comment>
  </commentList>
</comments>
</file>

<file path=xl/sharedStrings.xml><?xml version="1.0" encoding="utf-8"?>
<sst xmlns="http://schemas.openxmlformats.org/spreadsheetml/2006/main" count="699" uniqueCount="414">
  <si>
    <t>State Name (choose from drop down list)</t>
  </si>
  <si>
    <t>NEW JERSEY</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</si>
  <si>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</si>
  <si>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</si>
  <si>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</si>
  <si>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</si>
  <si>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</si>
  <si>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</si>
  <si>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</si>
  <si>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</si>
  <si>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</si>
  <si>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</si>
  <si>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</si>
  <si>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</si>
  <si>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</si>
  <si>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</si>
  <si>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</si>
  <si>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</si>
  <si>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</si>
  <si>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</si>
  <si>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</si>
  <si>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</si>
  <si>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</si>
  <si>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</si>
  <si>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</si>
  <si>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</si>
  <si>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</si>
  <si>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</si>
  <si>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</si>
  <si>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New Jersey Department of Labor</t>
  </si>
  <si>
    <t>No</t>
  </si>
  <si>
    <t>Atlantic County WDB</t>
  </si>
  <si>
    <t>Yes</t>
  </si>
  <si>
    <t>E&amp;T Services</t>
  </si>
  <si>
    <t>Bergen County WDB</t>
  </si>
  <si>
    <t>Bulrington County WDB</t>
  </si>
  <si>
    <t>Camden County WDB</t>
  </si>
  <si>
    <t>Cumberland/Salem/CapeMay WDB</t>
  </si>
  <si>
    <t>Essex County WDB</t>
  </si>
  <si>
    <t>Gloucester County WDB</t>
  </si>
  <si>
    <t>Greater Raritan WDB</t>
  </si>
  <si>
    <t>Hudson County WDB</t>
  </si>
  <si>
    <t>Mercer County WDB</t>
  </si>
  <si>
    <t>Middlesex County WDB</t>
  </si>
  <si>
    <t>Monmouth County WDB</t>
  </si>
  <si>
    <t>Morris/Sussex/Warren WDB</t>
  </si>
  <si>
    <t>Newark WDB</t>
  </si>
  <si>
    <t>Ocean County WDB</t>
  </si>
  <si>
    <t>Passaic County WDB</t>
  </si>
  <si>
    <t>Union County WDB</t>
  </si>
  <si>
    <t>Ideal Institute of Technology</t>
  </si>
  <si>
    <t>Blessed Ministries, Inc.</t>
  </si>
  <si>
    <t>Jewish Vocational Services Metro West</t>
  </si>
  <si>
    <t>Per Scholas</t>
  </si>
  <si>
    <t>Community Food Bank of New Jersey</t>
  </si>
  <si>
    <t>Vacant - Replacement Granee - TBD</t>
  </si>
  <si>
    <t>Vacant - New Granee - TBD</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</si>
  <si>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</si>
  <si>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</si>
  <si>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</si>
  <si>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</si>
  <si>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</si>
  <si>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</si>
  <si>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</si>
  <si>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</si>
  <si>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</si>
  <si>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</si>
  <si>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</si>
  <si>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</si>
  <si>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NJ Department of Labor and Workforce Development</t>
  </si>
  <si>
    <t>Atlantic County</t>
  </si>
  <si>
    <t>SJS, JST, JR, SET, EPB, EPC, 
EPEL, EPWRT, WBLI, WBLPA</t>
  </si>
  <si>
    <t>Transportation, work related/training expenses, tesing fees, other per IEP</t>
  </si>
  <si>
    <t>Bergen County</t>
  </si>
  <si>
    <t>Burlington County WDB</t>
  </si>
  <si>
    <t>Burlington County</t>
  </si>
  <si>
    <t>SJS, JST, JR, SET, EPB, EPC, EPEL, EPWRT, WBLI, WBLPA</t>
  </si>
  <si>
    <t>Camden County</t>
  </si>
  <si>
    <t>Cumberland/Salem/Cape May WDB</t>
  </si>
  <si>
    <t>Cumberland/Salem/Cape May</t>
  </si>
  <si>
    <t>Essex WDB</t>
  </si>
  <si>
    <t>Essex</t>
  </si>
  <si>
    <t>Gloucester WDB</t>
  </si>
  <si>
    <t>Gloucester</t>
  </si>
  <si>
    <t>Greater Raritan</t>
  </si>
  <si>
    <t>Hudson County</t>
  </si>
  <si>
    <t>Mercer County</t>
  </si>
  <si>
    <t>Middlesex County</t>
  </si>
  <si>
    <t>Monmouth County</t>
  </si>
  <si>
    <t xml:space="preserve">Morris/Sussex/Warren </t>
  </si>
  <si>
    <t>Newark</t>
  </si>
  <si>
    <t>Ocean WDB</t>
  </si>
  <si>
    <t>Ocean</t>
  </si>
  <si>
    <t>Passaic County</t>
  </si>
  <si>
    <t>Union County</t>
  </si>
  <si>
    <t>South Jersey</t>
  </si>
  <si>
    <t>North Jersey</t>
  </si>
  <si>
    <t>Central Jersey</t>
  </si>
  <si>
    <t>Vacant</t>
  </si>
  <si>
    <t>Regional</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</si>
  <si>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</si>
  <si>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</si>
  <si>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</si>
  <si>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</si>
  <si>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</si>
  <si>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</si>
  <si>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</si>
  <si>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</si>
  <si>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</si>
  <si>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</si>
  <si>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</si>
  <si>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</si>
  <si>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</si>
  <si>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</si>
  <si>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</si>
  <si>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</si>
  <si>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</si>
  <si>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</si>
  <si>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</si>
  <si>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</si>
  <si>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</si>
  <si>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</si>
  <si>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</si>
  <si>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</si>
  <si>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</si>
  <si>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</si>
  <si>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</si>
  <si>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</si>
  <si>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</si>
  <si>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</si>
  <si>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</si>
  <si>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</si>
  <si>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</si>
  <si>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</si>
  <si>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</si>
  <si>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</si>
  <si>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</si>
  <si>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</si>
  <si>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</si>
  <si>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</si>
  <si>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</si>
  <si>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</si>
  <si>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</si>
  <si>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</si>
  <si>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</si>
  <si>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</si>
  <si>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</si>
  <si>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</si>
  <si>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</si>
  <si>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</si>
  <si>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</si>
  <si>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</si>
  <si>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</si>
  <si>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</si>
  <si>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</si>
  <si>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</si>
  <si>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</si>
  <si>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</si>
  <si>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</si>
  <si>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</si>
  <si>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</si>
  <si>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</si>
  <si>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</si>
  <si>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</si>
  <si>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</si>
  <si>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</si>
  <si>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</si>
  <si>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ATLANTIC CSSA</t>
  </si>
  <si>
    <t>BERGEN CSSA</t>
  </si>
  <si>
    <t>BURLINGTON CSSA</t>
  </si>
  <si>
    <t>CAMDEN CSSA</t>
  </si>
  <si>
    <t>CAPE MAY CSSA</t>
  </si>
  <si>
    <t>CUMBERLAND CSSA</t>
  </si>
  <si>
    <t>ESSEX CSSA</t>
  </si>
  <si>
    <t>GLOUCESTER CSSA</t>
  </si>
  <si>
    <t>HUDSON CSSA</t>
  </si>
  <si>
    <t>HUNTERDON CSSA</t>
  </si>
  <si>
    <t>MERCER CSSA</t>
  </si>
  <si>
    <t>MIDDLESEX CSSA</t>
  </si>
  <si>
    <t>MONMOUTH CSSA</t>
  </si>
  <si>
    <t>MORRIS CSSA</t>
  </si>
  <si>
    <t>OCEAN CSSA</t>
  </si>
  <si>
    <t>PASSAIC CSSA</t>
  </si>
  <si>
    <t>SALEM CSSA</t>
  </si>
  <si>
    <t>SOMERSET CSSA</t>
  </si>
  <si>
    <t>SUSSEX CSSA</t>
  </si>
  <si>
    <t>UNION CSSA</t>
  </si>
  <si>
    <t>WARREN CSSA</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</si>
  <si>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</si>
  <si>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</si>
  <si>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</si>
  <si>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</si>
  <si>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</si>
  <si>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</si>
  <si>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</si>
  <si>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</si>
  <si>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</si>
  <si>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</si>
  <si>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</si>
  <si>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</si>
  <si>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</si>
  <si>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</si>
  <si>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</si>
  <si>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</si>
  <si>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</si>
  <si>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</si>
  <si>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</si>
  <si>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</si>
  <si>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</si>
  <si>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</si>
  <si>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</si>
  <si>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</si>
  <si>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</si>
  <si>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</si>
  <si>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</si>
  <si>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</si>
  <si>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</si>
  <si>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</si>
  <si>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</si>
  <si>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</si>
  <si>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</si>
  <si>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</si>
  <si>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</si>
  <si>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</si>
  <si>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</si>
  <si>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</si>
  <si>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</si>
  <si>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</si>
  <si>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</si>
  <si>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</si>
  <si>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</si>
  <si>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</si>
  <si>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</si>
  <si>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</si>
  <si>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</si>
  <si>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</si>
  <si>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</si>
  <si>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</si>
  <si>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</si>
  <si>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</si>
  <si>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</si>
  <si>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</si>
  <si>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</si>
  <si>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</si>
  <si>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</si>
  <si>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</si>
  <si>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</si>
  <si>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</si>
  <si>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</si>
  <si>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</si>
  <si>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</si>
  <si>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</si>
  <si>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</si>
  <si>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</si>
  <si>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</si>
  <si>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</si>
  <si>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</si>
  <si>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</si>
  <si>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</si>
  <si>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</si>
  <si>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</si>
  <si>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</si>
  <si>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</si>
  <si>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</si>
  <si>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</si>
  <si>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</si>
  <si>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</si>
  <si>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</si>
  <si>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</si>
  <si>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</si>
  <si>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</si>
  <si>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</si>
  <si>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</si>
  <si>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</si>
  <si>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</si>
  <si>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</si>
  <si>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</si>
  <si>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</si>
  <si>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</si>
  <si>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</si>
  <si>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</si>
  <si>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</si>
  <si>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</si>
  <si>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</si>
  <si>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</si>
  <si>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</si>
  <si>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</si>
  <si>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</si>
  <si>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</si>
  <si>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Internship (WBLI-Sub)</t>
  </si>
  <si>
    <t>E&amp;T Provider is Intermediary between SA and 1 or more employers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</si>
  <si>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</si>
  <si>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</si>
  <si>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</si>
  <si>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</si>
  <si>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</si>
  <si>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</si>
  <si>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</si>
  <si>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</si>
  <si>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</si>
  <si>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</si>
  <si>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</si>
  <si>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</si>
  <si>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</si>
  <si>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</si>
  <si>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</si>
  <si>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</si>
  <si>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</si>
  <si>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</si>
  <si>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</si>
  <si>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</si>
  <si>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</si>
  <si>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</si>
  <si>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</si>
  <si>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</si>
  <si>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</si>
  <si>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</si>
  <si>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</si>
  <si>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</si>
  <si>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</si>
  <si>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</si>
  <si>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</si>
  <si>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</si>
  <si>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</si>
  <si>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</si>
  <si>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</si>
  <si>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</si>
  <si>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</si>
  <si>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</si>
  <si>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</si>
  <si>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</si>
  <si>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</si>
  <si>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</si>
  <si>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</si>
  <si>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</si>
  <si>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</si>
  <si>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</si>
  <si>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</si>
  <si>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</si>
  <si>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</si>
  <si>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</si>
  <si>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</si>
  <si>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</si>
  <si>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</si>
  <si>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</si>
  <si>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</si>
  <si>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</si>
  <si>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</si>
  <si>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</si>
  <si>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</si>
  <si>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</si>
  <si>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</si>
  <si>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</si>
  <si>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</si>
  <si>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</si>
  <si>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</si>
  <si>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</si>
  <si>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</si>
  <si>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</si>
  <si>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</si>
  <si>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</si>
  <si>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</si>
  <si>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</si>
  <si>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</si>
  <si>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</si>
  <si>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</si>
  <si>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</si>
  <si>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</si>
  <si>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Pre-Apprenticeship (WBLPA-Sub)</t>
  </si>
  <si>
    <t>If 50/50 Funds are used</t>
  </si>
  <si>
    <t>Basic Skills Gain</t>
  </si>
  <si>
    <t>E&amp;T Provider</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</si>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</sst>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Levine, Ashlee" id="{4ACC98CD-0D1E-4617-B5BE-F650AD891754}" userId="S::ashlee.levine@dhs.nj.gov::d6383cab-6480-43b7-b565-bd7dbae9c6ff" providerId="AD"/>
  <person displayName="Odufejo, Abiodun" id="{CB0B05C9-12AD-4F80-A239-916F44F296AA}" userId="S::abiodun.odufejo@dhs.nj.gov::b67d77b9-593d-4eb7-a5d9-2254bdb024a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4-07-30T14:18:32.50" personId="{CB0B05C9-12AD-4F80-A239-916F44F296AA}" id="{1449322B-A6E4-4A47-B39C-692B62C0CB3E}">
    <text>Cumulative total number of work registrants as of June 2024 WR 5670 report.</text>
  </threadedComment>
  <threadedComment ref="E15" dT="2024-07-30T14:20:22.38" personId="{CB0B05C9-12AD-4F80-A239-916F44F296AA}" id="{6DB0B3BE-9CF4-42AD-AED7-5DEB6C29CCF9}">
    <text>RM 7 report</text>
  </threadedComment>
  <threadedComment ref="E21" dT="2024-07-30T14:12:41.71" personId="{CB0B05C9-12AD-4F80-A239-916F44F296AA}" id="{77431ECA-A348-4343-988A-0848F830144F}">
    <text>Last year's budget was based on 25% of the anticipated number of work registrants. The same logic is used here. to arrive at 15560</text>
  </threadedComment>
  <threadedComment ref="E25" dT="2024-07-30T17:52:59.56" personId="{4ACC98CD-0D1E-4617-B5BE-F650AD891754}" id="{9C7A0770-23BE-41F3-AA33-9971FD7B82E2}">
    <text xml:space="preserve">Arrived at this number by taking the average of last 9 months in order  to project the remaining 3 months for a total year anticipated calculation average.  (Pulled from SDW reports) </text>
  </threadedComment>
  <threadedComment ref="E25" dT="2024-07-30T18:49:48.09" personId="{CB0B05C9-12AD-4F80-A239-916F44F296AA}" id="{46363E55-0C55-4883-A16D-7A62CDB9064D}" parentId="{9C7A0770-23BE-41F3-AA33-9971FD7B82E2}">
    <text>I think this should be the average over the 12 months, haven included the July, Aug, Sept average figures. Almost all the clients might receive the reimbursement monthly as recurring. Sorry if i misled you in the email. Last year's budget sheet was 800 at 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topLeftCell="A4" zoomScaleNormal="100" workbookViewId="0">
      <selection activeCell="B13" sqref="B13"/>
    </sheetView>
  </sheetViews>
  <sheetFormatPr defaultColWidth="8.6640625" defaultRowHeight="13.8" x14ac:dyDescent="0.25"/>
  <cols>
    <col min="1" max="1" width="35.109375" style="24" customWidth="1"/>
    <col min="2" max="2" width="23.5546875" style="24" customWidth="1"/>
    <col min="3" max="3" width="17.88671875" style="24" customWidth="1"/>
    <col min="4" max="5" width="22.88671875" style="80" customWidth="1"/>
    <col min="6" max="6" width="22.88671875" style="24" customWidth="1"/>
    <col min="7" max="8" width="22.6640625" style="24" customWidth="1"/>
    <col min="9" max="10" width="16.88671875" style="24" customWidth="1"/>
    <col min="11" max="11" width="14.109375" style="107" customWidth="1"/>
    <col min="12" max="13" width="8.6640625" style="24"/>
    <col min="14" max="17" width="13.109375" style="24" customWidth="1"/>
    <col min="18" max="18" width="15.109375" style="24" customWidth="1"/>
    <col min="19" max="19" width="8.6640625" style="24"/>
    <col min="20" max="24" width="13.109375" style="24" customWidth="1"/>
    <col min="25" max="16384" width="8.6640625" style="24"/>
  </cols>
  <sheetData>
    <row r="1" spans="1:24" ht="28.2" thickBot="1" x14ac:dyDescent="0.3">
      <c r="A1" s="44" t="s">
        <v>0</v>
      </c>
      <c r="B1" s="78" t="s">
        <v>1</v>
      </c>
      <c r="C1" s="79"/>
      <c r="E1" s="81"/>
      <c r="F1" s="39"/>
      <c r="G1" s="39"/>
      <c r="H1" s="39"/>
      <c r="I1" s="40" t="s">
        <v>2</v>
      </c>
      <c r="J1" s="78" t="s">
        <v>3</v>
      </c>
      <c r="K1" s="82"/>
      <c r="N1" s="314" t="s">
        <v>4</v>
      </c>
      <c r="O1" s="315"/>
      <c r="P1" s="315"/>
      <c r="Q1" s="315"/>
      <c r="R1" s="315"/>
      <c r="S1" s="315"/>
      <c r="T1" s="315"/>
      <c r="U1" s="315"/>
      <c r="V1" s="315"/>
      <c r="W1" s="315"/>
      <c r="X1" s="316"/>
    </row>
    <row r="2" spans="1:24" ht="15.6" x14ac:dyDescent="0.3">
      <c r="A2" s="323" t="s">
        <v>5</v>
      </c>
      <c r="B2" s="324"/>
      <c r="C2" s="324"/>
      <c r="D2" s="324"/>
      <c r="E2" s="324"/>
      <c r="F2" s="324"/>
      <c r="G2" s="324"/>
      <c r="H2" s="324"/>
      <c r="I2" s="324"/>
      <c r="J2" s="324"/>
      <c r="K2" s="83"/>
      <c r="N2" s="317" t="s">
        <v>6</v>
      </c>
      <c r="O2" s="318"/>
      <c r="P2" s="318"/>
      <c r="Q2" s="318"/>
      <c r="R2" s="319"/>
      <c r="T2" s="317" t="s">
        <v>7</v>
      </c>
      <c r="U2" s="318"/>
      <c r="V2" s="318"/>
      <c r="W2" s="318"/>
      <c r="X2" s="319"/>
    </row>
    <row r="3" spans="1:24" ht="78.75" customHeight="1" thickBot="1" x14ac:dyDescent="0.35">
      <c r="A3" s="325" t="s">
        <v>8</v>
      </c>
      <c r="B3" s="326"/>
      <c r="C3" s="326"/>
      <c r="D3" s="326"/>
      <c r="E3" s="326"/>
      <c r="F3" s="326"/>
      <c r="G3" s="326"/>
      <c r="H3" s="326"/>
      <c r="I3" s="326"/>
      <c r="J3" s="326"/>
      <c r="K3" s="327"/>
      <c r="N3" s="320" t="s">
        <v>9</v>
      </c>
      <c r="O3" s="321"/>
      <c r="P3" s="321"/>
      <c r="Q3" s="321"/>
      <c r="R3" s="322"/>
      <c r="T3" s="320" t="s">
        <v>10</v>
      </c>
      <c r="U3" s="321"/>
      <c r="V3" s="321"/>
      <c r="W3" s="321"/>
      <c r="X3" s="322"/>
    </row>
    <row r="4" spans="1:24" s="188" customFormat="1" ht="18" customHeight="1" x14ac:dyDescent="0.3">
      <c r="A4" s="189" t="s">
        <v>11</v>
      </c>
      <c r="B4" s="186"/>
      <c r="C4" s="186"/>
      <c r="D4" s="190">
        <f>SUM(D7:D103)</f>
        <v>593088</v>
      </c>
      <c r="E4" s="190">
        <f t="shared" ref="E4:H4" si="0">SUM(E7:E103)</f>
        <v>15882457</v>
      </c>
      <c r="F4" s="190">
        <f t="shared" si="0"/>
        <v>16475545</v>
      </c>
      <c r="G4" s="190">
        <f t="shared" si="0"/>
        <v>0</v>
      </c>
      <c r="H4" s="190">
        <f t="shared" si="0"/>
        <v>16475545</v>
      </c>
      <c r="I4" s="186"/>
      <c r="J4" s="190">
        <f>SUM(J7:J103)</f>
        <v>2985</v>
      </c>
      <c r="K4" s="187"/>
      <c r="N4" s="190">
        <f t="shared" ref="N4:R4" si="1">SUM(N7:N103)</f>
        <v>0</v>
      </c>
      <c r="O4" s="190">
        <f t="shared" si="1"/>
        <v>0</v>
      </c>
      <c r="P4" s="190">
        <f t="shared" si="1"/>
        <v>7941228.5</v>
      </c>
      <c r="Q4" s="190">
        <f t="shared" si="1"/>
        <v>7941228.5</v>
      </c>
      <c r="R4" s="190">
        <f t="shared" si="1"/>
        <v>15882457</v>
      </c>
      <c r="T4" s="190">
        <f t="shared" ref="T4:X4" si="2">SUM(T7:T103)</f>
        <v>0</v>
      </c>
      <c r="U4" s="190">
        <f t="shared" si="2"/>
        <v>0</v>
      </c>
      <c r="V4" s="190">
        <f t="shared" si="2"/>
        <v>0</v>
      </c>
      <c r="W4" s="190">
        <f t="shared" si="2"/>
        <v>0</v>
      </c>
      <c r="X4" s="190">
        <f t="shared" si="2"/>
        <v>0</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32</v>
      </c>
      <c r="C7" s="93"/>
      <c r="D7" s="94">
        <v>593088</v>
      </c>
      <c r="E7" s="94"/>
      <c r="F7" s="88">
        <f>SUM(D7:E7)</f>
        <v>593088</v>
      </c>
      <c r="G7" s="94"/>
      <c r="H7" s="88">
        <f>SUM(F7:G7)</f>
        <v>593088</v>
      </c>
      <c r="I7" s="89">
        <f>SUM(H7/'B - Operating Budget'!$D$40)</f>
        <v>1.6049426813769974E-2</v>
      </c>
      <c r="J7" s="95"/>
      <c r="K7" s="96"/>
      <c r="N7" s="90">
        <f>IF($K7="yes",SUM($E7*0.75),0)</f>
        <v>0</v>
      </c>
      <c r="O7" s="91">
        <f>IF($K7="yes",SUM($E7*0.25),0)</f>
        <v>0</v>
      </c>
      <c r="P7" s="91">
        <f>IF($K7="no",SUM($E7*0.5),0)</f>
        <v>0</v>
      </c>
      <c r="Q7" s="91">
        <f>IF($K7="no",SUM($E7*0.5),0)</f>
        <v>0</v>
      </c>
      <c r="R7" s="91">
        <f>SUM(N7:Q7)</f>
        <v>0</v>
      </c>
      <c r="T7" s="91">
        <f>IF($K7="yes",SUM($G7*0.75),0)</f>
        <v>0</v>
      </c>
      <c r="U7" s="91">
        <f>IF($K7="yes",SUM($G7*0.25),0)</f>
        <v>0</v>
      </c>
      <c r="V7" s="91">
        <f>IF($K7="no",SUM($G7*0.5),0)</f>
        <v>0</v>
      </c>
      <c r="W7" s="91">
        <f>IF($K7="no",SUM($G7*0.5),0)</f>
        <v>0</v>
      </c>
      <c r="X7" s="92">
        <f>SUM(T7:W7)</f>
        <v>0</v>
      </c>
    </row>
    <row r="8" spans="1:24" x14ac:dyDescent="0.25">
      <c r="A8" s="97" t="s">
        <v>31</v>
      </c>
      <c r="B8" s="93" t="s">
        <v>30</v>
      </c>
      <c r="C8" s="93" t="s">
        <v>33</v>
      </c>
      <c r="D8" s="94"/>
      <c r="E8" s="94">
        <v>1008169</v>
      </c>
      <c r="F8" s="88">
        <f>SUM(D8:E8)</f>
        <v>1008169</v>
      </c>
      <c r="G8" s="94"/>
      <c r="H8" s="88">
        <f t="shared" ref="H8:H103" si="3">SUM(F8:G8)</f>
        <v>1008169</v>
      </c>
      <c r="I8" s="89">
        <f>SUM(H8/'B - Operating Budget'!$D$40)</f>
        <v>2.7281844484143437E-2</v>
      </c>
      <c r="J8" s="95">
        <v>200</v>
      </c>
      <c r="K8" s="96" t="s">
        <v>30</v>
      </c>
      <c r="N8" s="90">
        <f t="shared" ref="N8:N103" si="4">IF($K8="yes",SUM($E8*0.75),0)</f>
        <v>0</v>
      </c>
      <c r="O8" s="91">
        <f t="shared" ref="O8:O103" si="5">IF($K8="yes",SUM($E8*0.25),0)</f>
        <v>0</v>
      </c>
      <c r="P8" s="91">
        <f t="shared" ref="P8:Q23" si="6">IF($K8="no",SUM($E8*0.5),0)</f>
        <v>504084.5</v>
      </c>
      <c r="Q8" s="91">
        <f t="shared" si="6"/>
        <v>504084.5</v>
      </c>
      <c r="R8" s="91">
        <f t="shared" ref="R8:R19" si="7">SUM(N8:Q8)</f>
        <v>1008169</v>
      </c>
      <c r="T8" s="91">
        <f t="shared" ref="T8:T103" si="8">IF($K8="yes",SUM($G8*0.75),0)</f>
        <v>0</v>
      </c>
      <c r="U8" s="91">
        <f t="shared" ref="U8:U103" si="9">IF($K8="yes",SUM($G8*0.25),0)</f>
        <v>0</v>
      </c>
      <c r="V8" s="91">
        <f t="shared" ref="V8:W72" si="10">IF($K8="no",SUM($G8*0.5),0)</f>
        <v>0</v>
      </c>
      <c r="W8" s="91">
        <f t="shared" si="10"/>
        <v>0</v>
      </c>
      <c r="X8" s="92">
        <f t="shared" ref="X8:X103" si="11">SUM(T8:W8)</f>
        <v>0</v>
      </c>
    </row>
    <row r="9" spans="1:24" x14ac:dyDescent="0.25">
      <c r="A9" s="97" t="s">
        <v>34</v>
      </c>
      <c r="B9" s="93" t="s">
        <v>30</v>
      </c>
      <c r="C9" s="93" t="s">
        <v>33</v>
      </c>
      <c r="D9" s="94"/>
      <c r="E9" s="94">
        <v>400000</v>
      </c>
      <c r="F9" s="88">
        <f t="shared" ref="F9:F103" si="12">SUM(D9:E9)</f>
        <v>400000</v>
      </c>
      <c r="G9" s="94"/>
      <c r="H9" s="88">
        <f t="shared" si="3"/>
        <v>400000</v>
      </c>
      <c r="I9" s="89">
        <f>SUM(H9/'B - Operating Budget'!$D$40)</f>
        <v>1.082431397281346E-2</v>
      </c>
      <c r="J9" s="95">
        <v>100</v>
      </c>
      <c r="K9" s="96" t="s">
        <v>30</v>
      </c>
      <c r="N9" s="90">
        <f t="shared" si="4"/>
        <v>0</v>
      </c>
      <c r="O9" s="91">
        <f t="shared" si="5"/>
        <v>0</v>
      </c>
      <c r="P9" s="91">
        <f t="shared" si="6"/>
        <v>200000</v>
      </c>
      <c r="Q9" s="91">
        <f t="shared" si="6"/>
        <v>200000</v>
      </c>
      <c r="R9" s="91">
        <f t="shared" si="7"/>
        <v>400000</v>
      </c>
      <c r="T9" s="91">
        <f t="shared" si="8"/>
        <v>0</v>
      </c>
      <c r="U9" s="91">
        <f t="shared" si="9"/>
        <v>0</v>
      </c>
      <c r="V9" s="91">
        <f t="shared" si="10"/>
        <v>0</v>
      </c>
      <c r="W9" s="91">
        <f t="shared" si="10"/>
        <v>0</v>
      </c>
      <c r="X9" s="92">
        <f t="shared" si="11"/>
        <v>0</v>
      </c>
    </row>
    <row r="10" spans="1:24" x14ac:dyDescent="0.25">
      <c r="A10" s="97" t="s">
        <v>35</v>
      </c>
      <c r="B10" s="93" t="s">
        <v>30</v>
      </c>
      <c r="C10" s="93" t="s">
        <v>33</v>
      </c>
      <c r="D10" s="94"/>
      <c r="E10" s="94">
        <v>540900</v>
      </c>
      <c r="F10" s="88">
        <f t="shared" si="12"/>
        <v>540900</v>
      </c>
      <c r="G10" s="94"/>
      <c r="H10" s="88">
        <f t="shared" si="3"/>
        <v>540900</v>
      </c>
      <c r="I10" s="89">
        <f>SUM(H10/'B - Operating Budget'!$D$40)</f>
        <v>1.4637178569737003E-2</v>
      </c>
      <c r="J10" s="95">
        <v>129</v>
      </c>
      <c r="K10" s="96" t="s">
        <v>30</v>
      </c>
      <c r="N10" s="90">
        <f t="shared" si="4"/>
        <v>0</v>
      </c>
      <c r="O10" s="91">
        <f t="shared" si="5"/>
        <v>0</v>
      </c>
      <c r="P10" s="91">
        <f t="shared" si="6"/>
        <v>270450</v>
      </c>
      <c r="Q10" s="91">
        <f t="shared" si="6"/>
        <v>270450</v>
      </c>
      <c r="R10" s="91">
        <f t="shared" si="7"/>
        <v>540900</v>
      </c>
      <c r="T10" s="91">
        <f t="shared" si="8"/>
        <v>0</v>
      </c>
      <c r="U10" s="91">
        <f t="shared" si="9"/>
        <v>0</v>
      </c>
      <c r="V10" s="91">
        <f t="shared" si="10"/>
        <v>0</v>
      </c>
      <c r="W10" s="91">
        <f t="shared" si="10"/>
        <v>0</v>
      </c>
      <c r="X10" s="92">
        <f t="shared" si="11"/>
        <v>0</v>
      </c>
    </row>
    <row r="11" spans="1:24" x14ac:dyDescent="0.25">
      <c r="A11" s="97" t="s">
        <v>36</v>
      </c>
      <c r="B11" s="93" t="s">
        <v>30</v>
      </c>
      <c r="C11" s="93" t="s">
        <v>33</v>
      </c>
      <c r="D11" s="94"/>
      <c r="E11" s="94">
        <v>900000</v>
      </c>
      <c r="F11" s="88">
        <f t="shared" si="12"/>
        <v>900000</v>
      </c>
      <c r="G11" s="94"/>
      <c r="H11" s="88">
        <f t="shared" si="3"/>
        <v>900000</v>
      </c>
      <c r="I11" s="89">
        <f>SUM(H11/'B - Operating Budget'!$D$40)</f>
        <v>2.4354706438830288E-2</v>
      </c>
      <c r="J11" s="95">
        <v>225</v>
      </c>
      <c r="K11" s="96" t="s">
        <v>30</v>
      </c>
      <c r="N11" s="90">
        <f t="shared" si="4"/>
        <v>0</v>
      </c>
      <c r="O11" s="91">
        <f t="shared" si="5"/>
        <v>0</v>
      </c>
      <c r="P11" s="91">
        <f t="shared" si="6"/>
        <v>450000</v>
      </c>
      <c r="Q11" s="91">
        <f t="shared" si="6"/>
        <v>450000</v>
      </c>
      <c r="R11" s="91">
        <f t="shared" si="7"/>
        <v>900000</v>
      </c>
      <c r="T11" s="91">
        <f t="shared" si="8"/>
        <v>0</v>
      </c>
      <c r="U11" s="91">
        <f t="shared" si="9"/>
        <v>0</v>
      </c>
      <c r="V11" s="91">
        <f t="shared" si="10"/>
        <v>0</v>
      </c>
      <c r="W11" s="91">
        <f t="shared" si="10"/>
        <v>0</v>
      </c>
      <c r="X11" s="92">
        <f t="shared" si="11"/>
        <v>0</v>
      </c>
    </row>
    <row r="12" spans="1:24" x14ac:dyDescent="0.25">
      <c r="A12" s="97" t="s">
        <v>37</v>
      </c>
      <c r="B12" s="93" t="s">
        <v>30</v>
      </c>
      <c r="C12" s="93" t="s">
        <v>33</v>
      </c>
      <c r="D12" s="94"/>
      <c r="E12" s="94">
        <v>1113108</v>
      </c>
      <c r="F12" s="88">
        <f t="shared" si="12"/>
        <v>1113108</v>
      </c>
      <c r="G12" s="94"/>
      <c r="H12" s="88">
        <f t="shared" si="3"/>
        <v>1113108</v>
      </c>
      <c r="I12" s="89">
        <f>SUM(H12/'B - Operating Budget'!$D$40)</f>
        <v>3.0121576194126115E-2</v>
      </c>
      <c r="J12" s="95">
        <v>200</v>
      </c>
      <c r="K12" s="96" t="s">
        <v>30</v>
      </c>
      <c r="N12" s="90">
        <f t="shared" si="4"/>
        <v>0</v>
      </c>
      <c r="O12" s="91">
        <f t="shared" si="5"/>
        <v>0</v>
      </c>
      <c r="P12" s="91">
        <f t="shared" si="6"/>
        <v>556554</v>
      </c>
      <c r="Q12" s="91">
        <f t="shared" si="6"/>
        <v>556554</v>
      </c>
      <c r="R12" s="91">
        <f t="shared" si="7"/>
        <v>1113108</v>
      </c>
      <c r="T12" s="91">
        <f t="shared" si="8"/>
        <v>0</v>
      </c>
      <c r="U12" s="91">
        <f t="shared" si="9"/>
        <v>0</v>
      </c>
      <c r="V12" s="91">
        <f t="shared" si="10"/>
        <v>0</v>
      </c>
      <c r="W12" s="91">
        <f t="shared" si="10"/>
        <v>0</v>
      </c>
      <c r="X12" s="92">
        <f t="shared" si="11"/>
        <v>0</v>
      </c>
    </row>
    <row r="13" spans="1:24" x14ac:dyDescent="0.25">
      <c r="A13" s="97" t="s">
        <v>38</v>
      </c>
      <c r="B13" s="93" t="s">
        <v>30</v>
      </c>
      <c r="C13" s="93" t="s">
        <v>33</v>
      </c>
      <c r="D13" s="94"/>
      <c r="E13" s="94">
        <v>1751670</v>
      </c>
      <c r="F13" s="88">
        <f t="shared" si="12"/>
        <v>1751670</v>
      </c>
      <c r="G13" s="94"/>
      <c r="H13" s="88">
        <f t="shared" si="3"/>
        <v>1751670</v>
      </c>
      <c r="I13" s="89">
        <f>SUM(H13/'B - Operating Budget'!$D$40)</f>
        <v>4.7401565141895391E-2</v>
      </c>
      <c r="J13" s="95">
        <v>300</v>
      </c>
      <c r="K13" s="96" t="s">
        <v>30</v>
      </c>
      <c r="N13" s="90">
        <f t="shared" si="4"/>
        <v>0</v>
      </c>
      <c r="O13" s="91">
        <f t="shared" si="5"/>
        <v>0</v>
      </c>
      <c r="P13" s="91">
        <f t="shared" si="6"/>
        <v>875835</v>
      </c>
      <c r="Q13" s="91">
        <f t="shared" si="6"/>
        <v>875835</v>
      </c>
      <c r="R13" s="91">
        <f t="shared" si="7"/>
        <v>1751670</v>
      </c>
      <c r="T13" s="91">
        <f t="shared" si="8"/>
        <v>0</v>
      </c>
      <c r="U13" s="91">
        <f t="shared" si="9"/>
        <v>0</v>
      </c>
      <c r="V13" s="91">
        <f t="shared" si="10"/>
        <v>0</v>
      </c>
      <c r="W13" s="91">
        <f t="shared" si="10"/>
        <v>0</v>
      </c>
      <c r="X13" s="92">
        <f t="shared" si="11"/>
        <v>0</v>
      </c>
    </row>
    <row r="14" spans="1:24" x14ac:dyDescent="0.25">
      <c r="A14" s="97" t="s">
        <v>39</v>
      </c>
      <c r="B14" s="93" t="s">
        <v>30</v>
      </c>
      <c r="C14" s="93" t="s">
        <v>33</v>
      </c>
      <c r="D14" s="94"/>
      <c r="E14" s="94">
        <v>430703</v>
      </c>
      <c r="F14" s="88">
        <f t="shared" si="12"/>
        <v>430703</v>
      </c>
      <c r="G14" s="94"/>
      <c r="H14" s="88">
        <f t="shared" si="3"/>
        <v>430703</v>
      </c>
      <c r="I14" s="89">
        <f>SUM(H14/'B - Operating Budget'!$D$40)</f>
        <v>1.1655161252581691E-2</v>
      </c>
      <c r="J14" s="95">
        <v>100</v>
      </c>
      <c r="K14" s="96" t="s">
        <v>30</v>
      </c>
      <c r="N14" s="90">
        <f t="shared" si="4"/>
        <v>0</v>
      </c>
      <c r="O14" s="91">
        <f t="shared" si="5"/>
        <v>0</v>
      </c>
      <c r="P14" s="91">
        <f t="shared" si="6"/>
        <v>215351.5</v>
      </c>
      <c r="Q14" s="91">
        <f t="shared" si="6"/>
        <v>215351.5</v>
      </c>
      <c r="R14" s="91">
        <f t="shared" si="7"/>
        <v>430703</v>
      </c>
      <c r="T14" s="91">
        <f t="shared" si="8"/>
        <v>0</v>
      </c>
      <c r="U14" s="91">
        <f t="shared" si="9"/>
        <v>0</v>
      </c>
      <c r="V14" s="91">
        <f t="shared" si="10"/>
        <v>0</v>
      </c>
      <c r="W14" s="91">
        <f t="shared" si="10"/>
        <v>0</v>
      </c>
      <c r="X14" s="92">
        <f t="shared" si="11"/>
        <v>0</v>
      </c>
    </row>
    <row r="15" spans="1:24" x14ac:dyDescent="0.25">
      <c r="A15" s="97" t="s">
        <v>40</v>
      </c>
      <c r="B15" s="93" t="s">
        <v>30</v>
      </c>
      <c r="C15" s="93" t="s">
        <v>33</v>
      </c>
      <c r="D15" s="94"/>
      <c r="E15" s="94">
        <v>282517</v>
      </c>
      <c r="F15" s="88">
        <f t="shared" si="12"/>
        <v>282517</v>
      </c>
      <c r="G15" s="94"/>
      <c r="H15" s="88">
        <f t="shared" si="3"/>
        <v>282517</v>
      </c>
      <c r="I15" s="89">
        <f>SUM(H15/'B - Operating Budget'!$D$40)</f>
        <v>7.6451317766433515E-3</v>
      </c>
      <c r="J15" s="95">
        <v>50</v>
      </c>
      <c r="K15" s="96" t="s">
        <v>30</v>
      </c>
      <c r="N15" s="90">
        <f t="shared" si="4"/>
        <v>0</v>
      </c>
      <c r="O15" s="91">
        <f t="shared" si="5"/>
        <v>0</v>
      </c>
      <c r="P15" s="91">
        <f t="shared" si="6"/>
        <v>141258.5</v>
      </c>
      <c r="Q15" s="91">
        <f t="shared" si="6"/>
        <v>141258.5</v>
      </c>
      <c r="R15" s="91">
        <f t="shared" si="7"/>
        <v>282517</v>
      </c>
      <c r="T15" s="91">
        <f t="shared" si="8"/>
        <v>0</v>
      </c>
      <c r="U15" s="91">
        <f t="shared" si="9"/>
        <v>0</v>
      </c>
      <c r="V15" s="91">
        <f t="shared" si="10"/>
        <v>0</v>
      </c>
      <c r="W15" s="91">
        <f t="shared" si="10"/>
        <v>0</v>
      </c>
      <c r="X15" s="92">
        <f t="shared" si="11"/>
        <v>0</v>
      </c>
    </row>
    <row r="16" spans="1:24" x14ac:dyDescent="0.25">
      <c r="A16" s="98" t="s">
        <v>41</v>
      </c>
      <c r="B16" s="99" t="s">
        <v>30</v>
      </c>
      <c r="C16" s="99" t="s">
        <v>33</v>
      </c>
      <c r="D16" s="100"/>
      <c r="E16" s="100">
        <v>1171773</v>
      </c>
      <c r="F16" s="88">
        <f t="shared" si="12"/>
        <v>1171773</v>
      </c>
      <c r="G16" s="94"/>
      <c r="H16" s="88">
        <f t="shared" si="3"/>
        <v>1171773</v>
      </c>
      <c r="I16" s="89">
        <f>SUM(H16/'B - Operating Budget'!$D$40)</f>
        <v>3.170909714216387E-2</v>
      </c>
      <c r="J16" s="95">
        <v>220</v>
      </c>
      <c r="K16" s="96" t="s">
        <v>30</v>
      </c>
      <c r="N16" s="90">
        <f t="shared" si="4"/>
        <v>0</v>
      </c>
      <c r="O16" s="91">
        <f t="shared" si="5"/>
        <v>0</v>
      </c>
      <c r="P16" s="91">
        <f t="shared" si="6"/>
        <v>585886.5</v>
      </c>
      <c r="Q16" s="91">
        <f t="shared" si="6"/>
        <v>585886.5</v>
      </c>
      <c r="R16" s="91">
        <f t="shared" si="7"/>
        <v>1171773</v>
      </c>
      <c r="T16" s="91">
        <f t="shared" si="8"/>
        <v>0</v>
      </c>
      <c r="U16" s="91">
        <f t="shared" si="9"/>
        <v>0</v>
      </c>
      <c r="V16" s="91">
        <f t="shared" si="10"/>
        <v>0</v>
      </c>
      <c r="W16" s="91">
        <f t="shared" si="10"/>
        <v>0</v>
      </c>
      <c r="X16" s="92">
        <f t="shared" si="11"/>
        <v>0</v>
      </c>
    </row>
    <row r="17" spans="1:24" x14ac:dyDescent="0.25">
      <c r="A17" s="97" t="s">
        <v>42</v>
      </c>
      <c r="B17" s="93" t="s">
        <v>30</v>
      </c>
      <c r="C17" s="93" t="s">
        <v>33</v>
      </c>
      <c r="D17" s="94"/>
      <c r="E17" s="94">
        <v>484922</v>
      </c>
      <c r="F17" s="88">
        <f t="shared" si="12"/>
        <v>484922</v>
      </c>
      <c r="G17" s="94"/>
      <c r="H17" s="88">
        <f t="shared" si="3"/>
        <v>484922</v>
      </c>
      <c r="I17" s="89">
        <f>SUM(H17/'B - Operating Budget'!$D$40)</f>
        <v>1.3122369950811622E-2</v>
      </c>
      <c r="J17" s="95">
        <v>100</v>
      </c>
      <c r="K17" s="96" t="s">
        <v>30</v>
      </c>
      <c r="N17" s="90">
        <f t="shared" si="4"/>
        <v>0</v>
      </c>
      <c r="O17" s="91">
        <f t="shared" si="5"/>
        <v>0</v>
      </c>
      <c r="P17" s="91">
        <f t="shared" si="6"/>
        <v>242461</v>
      </c>
      <c r="Q17" s="91">
        <f t="shared" si="6"/>
        <v>242461</v>
      </c>
      <c r="R17" s="91">
        <f t="shared" si="7"/>
        <v>484922</v>
      </c>
      <c r="T17" s="91">
        <f t="shared" si="8"/>
        <v>0</v>
      </c>
      <c r="U17" s="91">
        <f t="shared" si="9"/>
        <v>0</v>
      </c>
      <c r="V17" s="91">
        <f t="shared" si="10"/>
        <v>0</v>
      </c>
      <c r="W17" s="91">
        <f t="shared" si="10"/>
        <v>0</v>
      </c>
      <c r="X17" s="92">
        <f t="shared" si="11"/>
        <v>0</v>
      </c>
    </row>
    <row r="18" spans="1:24" x14ac:dyDescent="0.25">
      <c r="A18" s="97" t="s">
        <v>43</v>
      </c>
      <c r="B18" s="93" t="s">
        <v>30</v>
      </c>
      <c r="C18" s="93" t="s">
        <v>33</v>
      </c>
      <c r="D18" s="94"/>
      <c r="E18" s="94">
        <v>797959</v>
      </c>
      <c r="F18" s="88">
        <f t="shared" si="12"/>
        <v>797959</v>
      </c>
      <c r="G18" s="94"/>
      <c r="H18" s="88">
        <f t="shared" si="3"/>
        <v>797959</v>
      </c>
      <c r="I18" s="89">
        <f>SUM(H18/'B - Operating Budget'!$D$40)</f>
        <v>2.159339688358064E-2</v>
      </c>
      <c r="J18" s="95">
        <v>125</v>
      </c>
      <c r="K18" s="96" t="s">
        <v>30</v>
      </c>
      <c r="N18" s="90">
        <f t="shared" si="4"/>
        <v>0</v>
      </c>
      <c r="O18" s="91">
        <f t="shared" si="5"/>
        <v>0</v>
      </c>
      <c r="P18" s="91">
        <f t="shared" si="6"/>
        <v>398979.5</v>
      </c>
      <c r="Q18" s="91">
        <f t="shared" si="6"/>
        <v>398979.5</v>
      </c>
      <c r="R18" s="91">
        <f t="shared" si="7"/>
        <v>797959</v>
      </c>
      <c r="T18" s="91">
        <f t="shared" si="8"/>
        <v>0</v>
      </c>
      <c r="U18" s="91">
        <f t="shared" si="9"/>
        <v>0</v>
      </c>
      <c r="V18" s="91">
        <f t="shared" si="10"/>
        <v>0</v>
      </c>
      <c r="W18" s="91">
        <f t="shared" si="10"/>
        <v>0</v>
      </c>
      <c r="X18" s="92">
        <f t="shared" si="11"/>
        <v>0</v>
      </c>
    </row>
    <row r="19" spans="1:24" x14ac:dyDescent="0.25">
      <c r="A19" s="97" t="s">
        <v>44</v>
      </c>
      <c r="B19" s="93" t="s">
        <v>30</v>
      </c>
      <c r="C19" s="93" t="s">
        <v>33</v>
      </c>
      <c r="D19" s="94"/>
      <c r="E19" s="94">
        <v>400000</v>
      </c>
      <c r="F19" s="88">
        <f t="shared" si="12"/>
        <v>400000</v>
      </c>
      <c r="G19" s="94"/>
      <c r="H19" s="88">
        <f t="shared" si="3"/>
        <v>400000</v>
      </c>
      <c r="I19" s="89">
        <f>SUM(H19/'B - Operating Budget'!$D$40)</f>
        <v>1.082431397281346E-2</v>
      </c>
      <c r="J19" s="95">
        <v>90</v>
      </c>
      <c r="K19" s="96" t="s">
        <v>30</v>
      </c>
      <c r="N19" s="90">
        <f t="shared" si="4"/>
        <v>0</v>
      </c>
      <c r="O19" s="91">
        <f t="shared" si="5"/>
        <v>0</v>
      </c>
      <c r="P19" s="91">
        <f t="shared" si="6"/>
        <v>200000</v>
      </c>
      <c r="Q19" s="91">
        <f t="shared" si="6"/>
        <v>200000</v>
      </c>
      <c r="R19" s="91">
        <f t="shared" si="7"/>
        <v>400000</v>
      </c>
      <c r="T19" s="91">
        <f t="shared" si="8"/>
        <v>0</v>
      </c>
      <c r="U19" s="91">
        <f t="shared" si="9"/>
        <v>0</v>
      </c>
      <c r="V19" s="91">
        <f t="shared" si="10"/>
        <v>0</v>
      </c>
      <c r="W19" s="91">
        <f t="shared" si="10"/>
        <v>0</v>
      </c>
      <c r="X19" s="92">
        <f t="shared" si="11"/>
        <v>0</v>
      </c>
    </row>
    <row r="20" spans="1:24" x14ac:dyDescent="0.25">
      <c r="A20" s="97" t="s">
        <v>45</v>
      </c>
      <c r="B20" s="93" t="s">
        <v>30</v>
      </c>
      <c r="C20" s="93" t="s">
        <v>33</v>
      </c>
      <c r="D20" s="94"/>
      <c r="E20" s="94">
        <v>423585</v>
      </c>
      <c r="F20" s="88">
        <f t="shared" si="12"/>
        <v>423585</v>
      </c>
      <c r="G20" s="94"/>
      <c r="H20" s="88">
        <f t="shared" si="3"/>
        <v>423585</v>
      </c>
      <c r="I20" s="89">
        <f>SUM(H20/'B - Operating Budget'!$D$40)</f>
        <v>1.1462542585435475E-2</v>
      </c>
      <c r="J20" s="95">
        <v>94</v>
      </c>
      <c r="K20" s="96" t="s">
        <v>30</v>
      </c>
      <c r="N20" s="90">
        <f t="shared" si="4"/>
        <v>0</v>
      </c>
      <c r="O20" s="91">
        <f t="shared" si="5"/>
        <v>0</v>
      </c>
      <c r="P20" s="91">
        <f t="shared" si="6"/>
        <v>211792.5</v>
      </c>
      <c r="Q20" s="91">
        <f t="shared" si="6"/>
        <v>211792.5</v>
      </c>
      <c r="R20" s="91">
        <f t="shared" ref="R20:R103" si="13">SUM(N20:Q20)</f>
        <v>423585</v>
      </c>
      <c r="T20" s="91">
        <f t="shared" si="8"/>
        <v>0</v>
      </c>
      <c r="U20" s="91">
        <f t="shared" si="9"/>
        <v>0</v>
      </c>
      <c r="V20" s="91">
        <f t="shared" si="10"/>
        <v>0</v>
      </c>
      <c r="W20" s="91">
        <f t="shared" si="10"/>
        <v>0</v>
      </c>
      <c r="X20" s="92">
        <f t="shared" si="11"/>
        <v>0</v>
      </c>
    </row>
    <row r="21" spans="1:24" x14ac:dyDescent="0.25">
      <c r="A21" s="97" t="s">
        <v>46</v>
      </c>
      <c r="B21" s="93" t="s">
        <v>30</v>
      </c>
      <c r="C21" s="93" t="s">
        <v>33</v>
      </c>
      <c r="D21" s="94"/>
      <c r="E21" s="94">
        <v>240387</v>
      </c>
      <c r="F21" s="88">
        <f t="shared" si="12"/>
        <v>240387</v>
      </c>
      <c r="G21" s="94"/>
      <c r="H21" s="88">
        <f t="shared" si="3"/>
        <v>240387</v>
      </c>
      <c r="I21" s="89">
        <f>SUM(H21/'B - Operating Budget'!$D$40)</f>
        <v>6.5050609074567738E-3</v>
      </c>
      <c r="J21" s="95">
        <v>53</v>
      </c>
      <c r="K21" s="96" t="s">
        <v>30</v>
      </c>
      <c r="N21" s="90">
        <f t="shared" si="4"/>
        <v>0</v>
      </c>
      <c r="O21" s="91">
        <f t="shared" si="5"/>
        <v>0</v>
      </c>
      <c r="P21" s="91">
        <f t="shared" si="6"/>
        <v>120193.5</v>
      </c>
      <c r="Q21" s="91">
        <f t="shared" si="6"/>
        <v>120193.5</v>
      </c>
      <c r="R21" s="91">
        <f t="shared" si="13"/>
        <v>240387</v>
      </c>
      <c r="T21" s="91">
        <f t="shared" si="8"/>
        <v>0</v>
      </c>
      <c r="U21" s="91">
        <f t="shared" si="9"/>
        <v>0</v>
      </c>
      <c r="V21" s="91">
        <f t="shared" si="10"/>
        <v>0</v>
      </c>
      <c r="W21" s="91">
        <f t="shared" si="10"/>
        <v>0</v>
      </c>
      <c r="X21" s="92">
        <f t="shared" si="11"/>
        <v>0</v>
      </c>
    </row>
    <row r="22" spans="1:24" x14ac:dyDescent="0.25">
      <c r="A22" s="97" t="s">
        <v>47</v>
      </c>
      <c r="B22" s="93" t="s">
        <v>30</v>
      </c>
      <c r="C22" s="93" t="s">
        <v>33</v>
      </c>
      <c r="D22" s="94"/>
      <c r="E22" s="94">
        <v>536751</v>
      </c>
      <c r="F22" s="88">
        <f t="shared" si="12"/>
        <v>536751</v>
      </c>
      <c r="G22" s="94"/>
      <c r="H22" s="88">
        <f t="shared" si="3"/>
        <v>536751</v>
      </c>
      <c r="I22" s="89">
        <f>SUM(H22/'B - Operating Budget'!$D$40)</f>
        <v>1.4524903373053994E-2</v>
      </c>
      <c r="J22" s="95">
        <v>119</v>
      </c>
      <c r="K22" s="96" t="s">
        <v>30</v>
      </c>
      <c r="N22" s="90">
        <f t="shared" si="4"/>
        <v>0</v>
      </c>
      <c r="O22" s="91">
        <f t="shared" si="5"/>
        <v>0</v>
      </c>
      <c r="P22" s="91">
        <f t="shared" si="6"/>
        <v>268375.5</v>
      </c>
      <c r="Q22" s="91">
        <f t="shared" si="6"/>
        <v>268375.5</v>
      </c>
      <c r="R22" s="91">
        <f t="shared" si="13"/>
        <v>536751</v>
      </c>
      <c r="T22" s="91">
        <f t="shared" si="8"/>
        <v>0</v>
      </c>
      <c r="U22" s="91">
        <f t="shared" si="9"/>
        <v>0</v>
      </c>
      <c r="V22" s="91">
        <f t="shared" si="10"/>
        <v>0</v>
      </c>
      <c r="W22" s="91">
        <f t="shared" si="10"/>
        <v>0</v>
      </c>
      <c r="X22" s="92">
        <f t="shared" si="11"/>
        <v>0</v>
      </c>
    </row>
    <row r="23" spans="1:24" x14ac:dyDescent="0.25">
      <c r="A23" s="97" t="s">
        <v>48</v>
      </c>
      <c r="B23" s="93" t="s">
        <v>30</v>
      </c>
      <c r="C23" s="93" t="s">
        <v>33</v>
      </c>
      <c r="D23" s="94"/>
      <c r="E23" s="94">
        <v>1002000</v>
      </c>
      <c r="F23" s="88">
        <f t="shared" si="12"/>
        <v>1002000</v>
      </c>
      <c r="G23" s="94"/>
      <c r="H23" s="88">
        <f t="shared" si="3"/>
        <v>1002000</v>
      </c>
      <c r="I23" s="89">
        <f>SUM(H23/'B - Operating Budget'!$D$40)</f>
        <v>2.7114906501897719E-2</v>
      </c>
      <c r="J23" s="95">
        <v>223</v>
      </c>
      <c r="K23" s="96" t="s">
        <v>30</v>
      </c>
      <c r="N23" s="90">
        <f t="shared" si="4"/>
        <v>0</v>
      </c>
      <c r="O23" s="91">
        <f t="shared" si="5"/>
        <v>0</v>
      </c>
      <c r="P23" s="91">
        <f t="shared" si="6"/>
        <v>501000</v>
      </c>
      <c r="Q23" s="91">
        <f t="shared" si="6"/>
        <v>501000</v>
      </c>
      <c r="R23" s="91">
        <f t="shared" si="13"/>
        <v>1002000</v>
      </c>
      <c r="T23" s="91">
        <f t="shared" si="8"/>
        <v>0</v>
      </c>
      <c r="U23" s="91">
        <f t="shared" si="9"/>
        <v>0</v>
      </c>
      <c r="V23" s="91">
        <f t="shared" si="10"/>
        <v>0</v>
      </c>
      <c r="W23" s="91">
        <f t="shared" si="10"/>
        <v>0</v>
      </c>
      <c r="X23" s="92">
        <f t="shared" si="11"/>
        <v>0</v>
      </c>
    </row>
    <row r="24" spans="1:24" x14ac:dyDescent="0.25">
      <c r="A24" s="97" t="s">
        <v>49</v>
      </c>
      <c r="B24" s="93" t="s">
        <v>30</v>
      </c>
      <c r="C24" s="93" t="s">
        <v>33</v>
      </c>
      <c r="D24" s="94"/>
      <c r="E24" s="94">
        <v>798013</v>
      </c>
      <c r="F24" s="88">
        <f t="shared" si="12"/>
        <v>798013</v>
      </c>
      <c r="G24" s="94"/>
      <c r="H24" s="88">
        <f t="shared" si="3"/>
        <v>798013</v>
      </c>
      <c r="I24" s="89">
        <f>SUM(H24/'B - Operating Budget'!$D$40)</f>
        <v>2.1594858165966971E-2</v>
      </c>
      <c r="J24" s="95">
        <v>177</v>
      </c>
      <c r="K24" s="96" t="s">
        <v>30</v>
      </c>
      <c r="N24" s="90">
        <f t="shared" si="4"/>
        <v>0</v>
      </c>
      <c r="O24" s="91">
        <f t="shared" si="5"/>
        <v>0</v>
      </c>
      <c r="P24" s="91">
        <f t="shared" ref="P24:Q103" si="14">IF($K24="no",SUM($E24*0.5),0)</f>
        <v>399006.5</v>
      </c>
      <c r="Q24" s="91">
        <f t="shared" si="14"/>
        <v>399006.5</v>
      </c>
      <c r="R24" s="91">
        <f t="shared" si="13"/>
        <v>798013</v>
      </c>
      <c r="T24" s="91">
        <f t="shared" si="8"/>
        <v>0</v>
      </c>
      <c r="U24" s="91">
        <f t="shared" si="9"/>
        <v>0</v>
      </c>
      <c r="V24" s="91">
        <f t="shared" si="10"/>
        <v>0</v>
      </c>
      <c r="W24" s="91">
        <f t="shared" si="10"/>
        <v>0</v>
      </c>
      <c r="X24" s="92">
        <f t="shared" si="11"/>
        <v>0</v>
      </c>
    </row>
    <row r="25" spans="1:24" x14ac:dyDescent="0.25">
      <c r="A25" s="97"/>
      <c r="B25" s="93"/>
      <c r="C25" s="93"/>
      <c r="D25" s="94"/>
      <c r="E25" s="94"/>
      <c r="F25" s="88">
        <f t="shared" si="12"/>
        <v>0</v>
      </c>
      <c r="G25" s="94"/>
      <c r="H25" s="88">
        <f t="shared" si="3"/>
        <v>0</v>
      </c>
      <c r="I25" s="89">
        <f>SUM(H25/'B - Operating Budget'!$D$40)</f>
        <v>0</v>
      </c>
      <c r="J25" s="95"/>
      <c r="K25" s="96"/>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t="s">
        <v>50</v>
      </c>
      <c r="B26" s="93" t="s">
        <v>30</v>
      </c>
      <c r="C26" s="93" t="s">
        <v>33</v>
      </c>
      <c r="D26" s="94"/>
      <c r="E26" s="94">
        <v>500000</v>
      </c>
      <c r="F26" s="88">
        <f t="shared" si="12"/>
        <v>500000</v>
      </c>
      <c r="G26" s="94"/>
      <c r="H26" s="88">
        <f t="shared" si="3"/>
        <v>500000</v>
      </c>
      <c r="I26" s="89">
        <f>SUM(H26/'B - Operating Budget'!$D$40)</f>
        <v>1.3530392466016826E-2</v>
      </c>
      <c r="J26" s="95">
        <v>40</v>
      </c>
      <c r="K26" s="96" t="s">
        <v>30</v>
      </c>
      <c r="N26" s="90">
        <f t="shared" si="4"/>
        <v>0</v>
      </c>
      <c r="O26" s="91">
        <f t="shared" si="5"/>
        <v>0</v>
      </c>
      <c r="P26" s="91">
        <f t="shared" si="14"/>
        <v>250000</v>
      </c>
      <c r="Q26" s="91">
        <f t="shared" si="14"/>
        <v>250000</v>
      </c>
      <c r="R26" s="91">
        <f t="shared" si="13"/>
        <v>500000</v>
      </c>
      <c r="T26" s="91">
        <f t="shared" si="8"/>
        <v>0</v>
      </c>
      <c r="U26" s="91">
        <f t="shared" si="9"/>
        <v>0</v>
      </c>
      <c r="V26" s="91">
        <f t="shared" si="10"/>
        <v>0</v>
      </c>
      <c r="W26" s="91">
        <f t="shared" si="10"/>
        <v>0</v>
      </c>
      <c r="X26" s="92">
        <f t="shared" si="11"/>
        <v>0</v>
      </c>
    </row>
    <row r="27" spans="1:24" x14ac:dyDescent="0.25">
      <c r="A27" s="97" t="s">
        <v>51</v>
      </c>
      <c r="B27" s="93" t="s">
        <v>30</v>
      </c>
      <c r="C27" s="93" t="s">
        <v>33</v>
      </c>
      <c r="D27" s="94"/>
      <c r="E27" s="94">
        <v>500000</v>
      </c>
      <c r="F27" s="88">
        <f t="shared" ref="F27:F28" si="15">SUM(D27:E27)</f>
        <v>500000</v>
      </c>
      <c r="G27" s="94"/>
      <c r="H27" s="88">
        <f t="shared" ref="H27:H28" si="16">SUM(F27:G27)</f>
        <v>500000</v>
      </c>
      <c r="I27" s="89">
        <f>SUM(H27/'B - Operating Budget'!$D$40)</f>
        <v>1.3530392466016826E-2</v>
      </c>
      <c r="J27" s="95">
        <v>40</v>
      </c>
      <c r="K27" s="96" t="s">
        <v>30</v>
      </c>
      <c r="N27" s="90">
        <f t="shared" si="4"/>
        <v>0</v>
      </c>
      <c r="O27" s="91">
        <f t="shared" si="5"/>
        <v>0</v>
      </c>
      <c r="P27" s="91">
        <f t="shared" si="14"/>
        <v>250000</v>
      </c>
      <c r="Q27" s="91">
        <f t="shared" si="14"/>
        <v>250000</v>
      </c>
      <c r="R27" s="91">
        <f t="shared" ref="R27:R57" si="17">SUM(N27:Q27)</f>
        <v>500000</v>
      </c>
      <c r="T27" s="91">
        <f t="shared" si="8"/>
        <v>0</v>
      </c>
      <c r="U27" s="91">
        <f t="shared" si="9"/>
        <v>0</v>
      </c>
      <c r="V27" s="91">
        <f t="shared" si="10"/>
        <v>0</v>
      </c>
      <c r="W27" s="91">
        <f t="shared" si="10"/>
        <v>0</v>
      </c>
      <c r="X27" s="92">
        <f t="shared" ref="X27:X57" si="18">SUM(T27:W27)</f>
        <v>0</v>
      </c>
    </row>
    <row r="28" spans="1:24" x14ac:dyDescent="0.25">
      <c r="A28" s="97" t="s">
        <v>52</v>
      </c>
      <c r="B28" s="93" t="s">
        <v>30</v>
      </c>
      <c r="C28" s="93" t="s">
        <v>33</v>
      </c>
      <c r="D28" s="94"/>
      <c r="E28" s="94">
        <v>500000</v>
      </c>
      <c r="F28" s="88">
        <f t="shared" si="15"/>
        <v>500000</v>
      </c>
      <c r="G28" s="94"/>
      <c r="H28" s="88">
        <f t="shared" si="16"/>
        <v>500000</v>
      </c>
      <c r="I28" s="89">
        <f>SUM(H28/'B - Operating Budget'!$D$40)</f>
        <v>1.3530392466016826E-2</v>
      </c>
      <c r="J28" s="95">
        <v>40</v>
      </c>
      <c r="K28" s="96" t="s">
        <v>30</v>
      </c>
      <c r="N28" s="90">
        <f t="shared" si="4"/>
        <v>0</v>
      </c>
      <c r="O28" s="91">
        <f t="shared" si="5"/>
        <v>0</v>
      </c>
      <c r="P28" s="91">
        <f t="shared" si="14"/>
        <v>250000</v>
      </c>
      <c r="Q28" s="91">
        <f t="shared" si="14"/>
        <v>250000</v>
      </c>
      <c r="R28" s="91">
        <f t="shared" si="17"/>
        <v>500000</v>
      </c>
      <c r="T28" s="91">
        <f t="shared" si="8"/>
        <v>0</v>
      </c>
      <c r="U28" s="91">
        <f t="shared" si="9"/>
        <v>0</v>
      </c>
      <c r="V28" s="91">
        <f t="shared" si="10"/>
        <v>0</v>
      </c>
      <c r="W28" s="91">
        <f t="shared" si="10"/>
        <v>0</v>
      </c>
      <c r="X28" s="92">
        <f t="shared" si="18"/>
        <v>0</v>
      </c>
    </row>
    <row r="29" spans="1:24" x14ac:dyDescent="0.25">
      <c r="A29" s="97" t="s">
        <v>53</v>
      </c>
      <c r="B29" s="93" t="s">
        <v>30</v>
      </c>
      <c r="C29" s="93" t="s">
        <v>33</v>
      </c>
      <c r="D29" s="94"/>
      <c r="E29" s="94">
        <v>500000</v>
      </c>
      <c r="F29" s="88">
        <f t="shared" ref="F29:F57" si="19">SUM(D29:E29)</f>
        <v>500000</v>
      </c>
      <c r="G29" s="94"/>
      <c r="H29" s="88">
        <f t="shared" ref="H29:H57" si="20">SUM(F29:G29)</f>
        <v>500000</v>
      </c>
      <c r="I29" s="89">
        <f>SUM(H29/'B - Operating Budget'!$D$40)</f>
        <v>1.3530392466016826E-2</v>
      </c>
      <c r="J29" s="95">
        <v>40</v>
      </c>
      <c r="K29" s="96" t="s">
        <v>30</v>
      </c>
      <c r="N29" s="90">
        <f t="shared" si="4"/>
        <v>0</v>
      </c>
      <c r="O29" s="91">
        <f t="shared" si="5"/>
        <v>0</v>
      </c>
      <c r="P29" s="91">
        <f t="shared" si="14"/>
        <v>250000</v>
      </c>
      <c r="Q29" s="91">
        <f t="shared" si="14"/>
        <v>250000</v>
      </c>
      <c r="R29" s="91">
        <f t="shared" si="17"/>
        <v>500000</v>
      </c>
      <c r="T29" s="91">
        <f t="shared" si="8"/>
        <v>0</v>
      </c>
      <c r="U29" s="91">
        <f t="shared" si="9"/>
        <v>0</v>
      </c>
      <c r="V29" s="91">
        <f t="shared" si="10"/>
        <v>0</v>
      </c>
      <c r="W29" s="91">
        <f t="shared" si="10"/>
        <v>0</v>
      </c>
      <c r="X29" s="92">
        <f t="shared" si="18"/>
        <v>0</v>
      </c>
    </row>
    <row r="30" spans="1:24" x14ac:dyDescent="0.25">
      <c r="A30" s="97" t="s">
        <v>54</v>
      </c>
      <c r="B30" s="93" t="s">
        <v>30</v>
      </c>
      <c r="C30" s="93" t="s">
        <v>33</v>
      </c>
      <c r="D30" s="94"/>
      <c r="E30" s="94">
        <v>500000</v>
      </c>
      <c r="F30" s="88">
        <f t="shared" si="19"/>
        <v>500000</v>
      </c>
      <c r="G30" s="94"/>
      <c r="H30" s="88">
        <f t="shared" si="20"/>
        <v>500000</v>
      </c>
      <c r="I30" s="89">
        <f>SUM(H30/'B - Operating Budget'!$D$40)</f>
        <v>1.3530392466016826E-2</v>
      </c>
      <c r="J30" s="95">
        <v>40</v>
      </c>
      <c r="K30" s="96" t="s">
        <v>30</v>
      </c>
      <c r="N30" s="90">
        <f t="shared" si="4"/>
        <v>0</v>
      </c>
      <c r="O30" s="91">
        <f t="shared" si="5"/>
        <v>0</v>
      </c>
      <c r="P30" s="91">
        <f t="shared" si="14"/>
        <v>250000</v>
      </c>
      <c r="Q30" s="91">
        <f t="shared" si="14"/>
        <v>250000</v>
      </c>
      <c r="R30" s="91">
        <f t="shared" si="17"/>
        <v>500000</v>
      </c>
      <c r="T30" s="91">
        <f t="shared" si="8"/>
        <v>0</v>
      </c>
      <c r="U30" s="91">
        <f t="shared" si="9"/>
        <v>0</v>
      </c>
      <c r="V30" s="91">
        <f t="shared" si="10"/>
        <v>0</v>
      </c>
      <c r="W30" s="91">
        <f t="shared" si="10"/>
        <v>0</v>
      </c>
      <c r="X30" s="92">
        <f t="shared" si="18"/>
        <v>0</v>
      </c>
    </row>
    <row r="31" spans="1:24" x14ac:dyDescent="0.25">
      <c r="A31" s="97" t="s">
        <v>55</v>
      </c>
      <c r="B31" s="93" t="s">
        <v>30</v>
      </c>
      <c r="C31" s="93" t="s">
        <v>33</v>
      </c>
      <c r="D31" s="94"/>
      <c r="E31" s="94">
        <v>500000</v>
      </c>
      <c r="F31" s="88">
        <f t="shared" si="19"/>
        <v>500000</v>
      </c>
      <c r="G31" s="94"/>
      <c r="H31" s="88">
        <f t="shared" si="20"/>
        <v>500000</v>
      </c>
      <c r="I31" s="89">
        <f>SUM(H31/'B - Operating Budget'!$D$40)</f>
        <v>1.3530392466016826E-2</v>
      </c>
      <c r="J31" s="95">
        <v>40</v>
      </c>
      <c r="K31" s="96" t="s">
        <v>30</v>
      </c>
      <c r="N31" s="90">
        <f t="shared" si="4"/>
        <v>0</v>
      </c>
      <c r="O31" s="91">
        <f t="shared" si="5"/>
        <v>0</v>
      </c>
      <c r="P31" s="91">
        <f t="shared" si="14"/>
        <v>250000</v>
      </c>
      <c r="Q31" s="91">
        <f t="shared" si="14"/>
        <v>250000</v>
      </c>
      <c r="R31" s="91">
        <f t="shared" si="17"/>
        <v>500000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t="s">
        <v>56</v>
      </c>
      <c r="B33" s="93" t="s">
        <v>30</v>
      </c>
      <c r="C33" s="93" t="s">
        <v>33</v>
      </c>
      <c r="D33" s="94"/>
      <c r="E33" s="94">
        <v>100000</v>
      </c>
      <c r="F33" s="88">
        <f t="shared" si="19"/>
        <v>100000</v>
      </c>
      <c r="G33" s="94"/>
      <c r="H33" s="88">
        <f t="shared" si="20"/>
        <v>100000</v>
      </c>
      <c r="I33" s="89">
        <f>SUM(H33/'B - Operating Budget'!$D$40)</f>
        <v>2.7060784932033651E-3</v>
      </c>
      <c r="J33" s="95">
        <v>40</v>
      </c>
      <c r="K33" s="96" t="s">
        <v>30</v>
      </c>
      <c r="N33" s="90">
        <f t="shared" si="4"/>
        <v>0</v>
      </c>
      <c r="O33" s="91">
        <f t="shared" si="5"/>
        <v>0</v>
      </c>
      <c r="P33" s="91">
        <f t="shared" si="14"/>
        <v>50000</v>
      </c>
      <c r="Q33" s="91">
        <f t="shared" si="14"/>
        <v>50000</v>
      </c>
      <c r="R33" s="91">
        <f t="shared" si="17"/>
        <v>100000</v>
      </c>
      <c r="T33" s="91">
        <f t="shared" si="8"/>
        <v>0</v>
      </c>
      <c r="U33" s="91">
        <f t="shared" si="9"/>
        <v>0</v>
      </c>
      <c r="V33" s="91">
        <f t="shared" si="10"/>
        <v>0</v>
      </c>
      <c r="W33" s="91">
        <f t="shared" si="10"/>
        <v>0</v>
      </c>
      <c r="X33" s="92">
        <f t="shared" si="18"/>
        <v>0</v>
      </c>
    </row>
    <row r="34" spans="1:24" x14ac:dyDescent="0.25">
      <c r="A34" s="97" t="s">
        <v>56</v>
      </c>
      <c r="B34" s="93" t="s">
        <v>30</v>
      </c>
      <c r="C34" s="93" t="s">
        <v>33</v>
      </c>
      <c r="D34" s="94"/>
      <c r="E34" s="94">
        <v>100000</v>
      </c>
      <c r="F34" s="88">
        <f t="shared" si="19"/>
        <v>100000</v>
      </c>
      <c r="G34" s="94"/>
      <c r="H34" s="88">
        <f t="shared" si="20"/>
        <v>100000</v>
      </c>
      <c r="I34" s="89">
        <f>SUM(H34/'B - Operating Budget'!$D$40)</f>
        <v>2.7060784932033651E-3</v>
      </c>
      <c r="J34" s="95">
        <v>40</v>
      </c>
      <c r="K34" s="96" t="s">
        <v>30</v>
      </c>
      <c r="N34" s="90">
        <f t="shared" si="4"/>
        <v>0</v>
      </c>
      <c r="O34" s="91">
        <f t="shared" si="5"/>
        <v>0</v>
      </c>
      <c r="P34" s="91">
        <f t="shared" si="14"/>
        <v>50000</v>
      </c>
      <c r="Q34" s="91">
        <f t="shared" si="14"/>
        <v>50000</v>
      </c>
      <c r="R34" s="91">
        <f t="shared" si="17"/>
        <v>100000</v>
      </c>
      <c r="T34" s="91">
        <f t="shared" si="8"/>
        <v>0</v>
      </c>
      <c r="U34" s="91">
        <f t="shared" si="9"/>
        <v>0</v>
      </c>
      <c r="V34" s="91">
        <f t="shared" si="10"/>
        <v>0</v>
      </c>
      <c r="W34" s="91">
        <f t="shared" si="10"/>
        <v>0</v>
      </c>
      <c r="X34" s="92">
        <f t="shared" si="18"/>
        <v>0</v>
      </c>
    </row>
    <row r="35" spans="1:24" x14ac:dyDescent="0.25">
      <c r="A35" s="97" t="s">
        <v>56</v>
      </c>
      <c r="B35" s="93" t="s">
        <v>30</v>
      </c>
      <c r="C35" s="93" t="s">
        <v>33</v>
      </c>
      <c r="D35" s="94"/>
      <c r="E35" s="94">
        <v>100000</v>
      </c>
      <c r="F35" s="88">
        <f t="shared" si="19"/>
        <v>100000</v>
      </c>
      <c r="G35" s="94"/>
      <c r="H35" s="88">
        <f t="shared" si="20"/>
        <v>100000</v>
      </c>
      <c r="I35" s="89">
        <f>SUM(H35/'B - Operating Budget'!$D$40)</f>
        <v>2.7060784932033651E-3</v>
      </c>
      <c r="J35" s="95">
        <v>40</v>
      </c>
      <c r="K35" s="96" t="s">
        <v>30</v>
      </c>
      <c r="N35" s="90">
        <f t="shared" si="4"/>
        <v>0</v>
      </c>
      <c r="O35" s="91">
        <f t="shared" si="5"/>
        <v>0</v>
      </c>
      <c r="P35" s="91">
        <f t="shared" si="14"/>
        <v>50000</v>
      </c>
      <c r="Q35" s="91">
        <f t="shared" si="14"/>
        <v>50000</v>
      </c>
      <c r="R35" s="91">
        <f t="shared" si="17"/>
        <v>100000</v>
      </c>
      <c r="T35" s="91">
        <f t="shared" si="8"/>
        <v>0</v>
      </c>
      <c r="U35" s="91">
        <f t="shared" si="9"/>
        <v>0</v>
      </c>
      <c r="V35" s="91">
        <f t="shared" si="10"/>
        <v>0</v>
      </c>
      <c r="W35" s="91">
        <f t="shared" si="10"/>
        <v>0</v>
      </c>
      <c r="X35" s="92">
        <f t="shared" si="18"/>
        <v>0</v>
      </c>
    </row>
    <row r="36" spans="1:24" x14ac:dyDescent="0.25">
      <c r="A36" s="97" t="s">
        <v>56</v>
      </c>
      <c r="B36" s="93" t="s">
        <v>30</v>
      </c>
      <c r="C36" s="93" t="s">
        <v>33</v>
      </c>
      <c r="D36" s="94"/>
      <c r="E36" s="94">
        <v>100000</v>
      </c>
      <c r="F36" s="88">
        <f t="shared" si="19"/>
        <v>100000</v>
      </c>
      <c r="G36" s="94"/>
      <c r="H36" s="88">
        <f t="shared" si="20"/>
        <v>100000</v>
      </c>
      <c r="I36" s="89">
        <f>SUM(H36/'B - Operating Budget'!$D$40)</f>
        <v>2.7060784932033651E-3</v>
      </c>
      <c r="J36" s="95">
        <v>40</v>
      </c>
      <c r="K36" s="96" t="s">
        <v>30</v>
      </c>
      <c r="N36" s="90">
        <f t="shared" si="4"/>
        <v>0</v>
      </c>
      <c r="O36" s="91">
        <f t="shared" si="5"/>
        <v>0</v>
      </c>
      <c r="P36" s="91">
        <f t="shared" si="14"/>
        <v>50000</v>
      </c>
      <c r="Q36" s="91">
        <f t="shared" si="14"/>
        <v>50000</v>
      </c>
      <c r="R36" s="91">
        <f t="shared" si="17"/>
        <v>100000</v>
      </c>
      <c r="T36" s="91">
        <f t="shared" si="8"/>
        <v>0</v>
      </c>
      <c r="U36" s="91">
        <f t="shared" si="9"/>
        <v>0</v>
      </c>
      <c r="V36" s="91">
        <f t="shared" si="10"/>
        <v>0</v>
      </c>
      <c r="W36" s="91">
        <f t="shared" si="10"/>
        <v>0</v>
      </c>
      <c r="X36" s="92">
        <f t="shared" si="18"/>
        <v>0</v>
      </c>
    </row>
    <row r="37" spans="1:24" x14ac:dyDescent="0.25">
      <c r="A37" s="97" t="s">
        <v>56</v>
      </c>
      <c r="B37" s="93" t="s">
        <v>30</v>
      </c>
      <c r="C37" s="93" t="s">
        <v>33</v>
      </c>
      <c r="D37" s="94"/>
      <c r="E37" s="94">
        <v>100000</v>
      </c>
      <c r="F37" s="88">
        <f t="shared" si="19"/>
        <v>100000</v>
      </c>
      <c r="G37" s="94"/>
      <c r="H37" s="88">
        <f t="shared" si="20"/>
        <v>100000</v>
      </c>
      <c r="I37" s="89">
        <f>SUM(H37/'B - Operating Budget'!$D$40)</f>
        <v>2.7060784932033651E-3</v>
      </c>
      <c r="J37" s="95">
        <v>40</v>
      </c>
      <c r="K37" s="96" t="s">
        <v>30</v>
      </c>
      <c r="N37" s="90">
        <f t="shared" si="4"/>
        <v>0</v>
      </c>
      <c r="O37" s="91">
        <f t="shared" si="5"/>
        <v>0</v>
      </c>
      <c r="P37" s="91">
        <f t="shared" si="14"/>
        <v>50000</v>
      </c>
      <c r="Q37" s="91">
        <f t="shared" si="14"/>
        <v>50000</v>
      </c>
      <c r="R37" s="91">
        <f t="shared" si="17"/>
        <v>100000</v>
      </c>
      <c r="T37" s="91">
        <f t="shared" si="8"/>
        <v>0</v>
      </c>
      <c r="U37" s="91">
        <f t="shared" si="9"/>
        <v>0</v>
      </c>
      <c r="V37" s="91">
        <f t="shared" si="10"/>
        <v>0</v>
      </c>
      <c r="W37" s="91">
        <f t="shared" si="10"/>
        <v>0</v>
      </c>
      <c r="X37" s="92">
        <f t="shared" si="18"/>
        <v>0</v>
      </c>
    </row>
    <row r="38" spans="1:24" x14ac:dyDescent="0.25">
      <c r="A38" s="97" t="s">
        <v>56</v>
      </c>
      <c r="B38" s="93" t="s">
        <v>30</v>
      </c>
      <c r="C38" s="93" t="s">
        <v>33</v>
      </c>
      <c r="D38" s="94"/>
      <c r="E38" s="94">
        <v>100000</v>
      </c>
      <c r="F38" s="88">
        <f t="shared" si="19"/>
        <v>100000</v>
      </c>
      <c r="G38" s="94"/>
      <c r="H38" s="88">
        <f t="shared" si="20"/>
        <v>100000</v>
      </c>
      <c r="I38" s="89">
        <f>SUM(H38/'B - Operating Budget'!$D$40)</f>
        <v>2.7060784932033651E-3</v>
      </c>
      <c r="J38" s="95">
        <v>40</v>
      </c>
      <c r="K38" s="96" t="s">
        <v>30</v>
      </c>
      <c r="N38" s="90">
        <f t="shared" si="4"/>
        <v>0</v>
      </c>
      <c r="O38" s="91">
        <f t="shared" si="5"/>
        <v>0</v>
      </c>
      <c r="P38" s="91">
        <f t="shared" si="14"/>
        <v>50000</v>
      </c>
      <c r="Q38" s="91">
        <f t="shared" si="14"/>
        <v>50000</v>
      </c>
      <c r="R38" s="91">
        <f t="shared" si="17"/>
        <v>100000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593088</v>
      </c>
      <c r="E109" s="127">
        <f>SUM(E7:E103)</f>
        <v>15882457</v>
      </c>
      <c r="F109" s="127">
        <f>SUM(F7:F103)</f>
        <v>16475545</v>
      </c>
      <c r="G109" s="127">
        <f>SUM(G7:G103)</f>
        <v>0</v>
      </c>
      <c r="H109" s="127">
        <f>SUM(H7:H103)</f>
        <v>16475545</v>
      </c>
      <c r="I109" s="126"/>
      <c r="J109" s="126">
        <f>SUM(J7:J103)</f>
        <v>2985</v>
      </c>
      <c r="K109" s="102"/>
      <c r="N109" s="103">
        <f>SUM(N7:N103)</f>
        <v>0</v>
      </c>
      <c r="O109" s="104">
        <f t="shared" ref="O109:R109" si="29">SUM(O7:O103)</f>
        <v>0</v>
      </c>
      <c r="P109" s="104">
        <f t="shared" si="29"/>
        <v>7941228.5</v>
      </c>
      <c r="Q109" s="104">
        <f t="shared" si="29"/>
        <v>7941228.5</v>
      </c>
      <c r="R109" s="104">
        <f t="shared" si="29"/>
        <v>15882457</v>
      </c>
      <c r="S109" s="105"/>
      <c r="T109" s="104">
        <f>SUM(T7:T103)</f>
        <v>0</v>
      </c>
      <c r="U109" s="104">
        <f t="shared" ref="U109:X109" si="30">SUM(U7:U103)</f>
        <v>0</v>
      </c>
      <c r="V109" s="104">
        <f t="shared" si="30"/>
        <v>0</v>
      </c>
      <c r="W109" s="104">
        <f t="shared" si="30"/>
        <v>0</v>
      </c>
      <c r="X109" s="106">
        <f t="shared" si="30"/>
        <v>0</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2" width="18.5546875" customWidth="1"/>
    <col min="3" max="3" width="18.6640625" customWidth="1"/>
    <col min="4" max="4" width="50.6640625" customWidth="1"/>
    <col min="5" max="5" width="40.33203125" customWidth="1"/>
    <col min="7" max="7" width="34" customWidth="1"/>
    <col min="8" max="8" width="18.5546875" customWidth="1"/>
    <col min="9" max="9" width="26.33203125" style="261" customWidth="1"/>
    <col min="10" max="10" width="28.5546875" customWidth="1"/>
    <col min="11" max="11" width="23.33203125" style="261" customWidth="1"/>
    <col min="14" max="14" width="98.6640625" customWidth="1"/>
    <col min="15" max="15" width="19.6640625" customWidth="1"/>
  </cols>
  <sheetData>
    <row r="1" spans="1:15" ht="42.6" customHeight="1" x14ac:dyDescent="0.3">
      <c r="A1" s="250" t="s">
        <v>2</v>
      </c>
      <c r="B1" s="250" t="s">
        <v>347</v>
      </c>
      <c r="C1" s="250" t="s">
        <v>348</v>
      </c>
      <c r="D1" s="65" t="s">
        <v>349</v>
      </c>
      <c r="E1" s="65" t="s">
        <v>350</v>
      </c>
      <c r="G1" s="250" t="s">
        <v>351</v>
      </c>
      <c r="H1" s="250" t="s">
        <v>352</v>
      </c>
      <c r="I1" s="261" t="s">
        <v>353</v>
      </c>
      <c r="J1" s="250" t="s">
        <v>354</v>
      </c>
      <c r="K1" s="265" t="s">
        <v>355</v>
      </c>
      <c r="N1" s="54" t="s">
        <v>356</v>
      </c>
      <c r="O1" s="47" t="s">
        <v>357</v>
      </c>
    </row>
    <row r="2" spans="1:15" ht="43.2" x14ac:dyDescent="0.3">
      <c r="A2" t="s">
        <v>358</v>
      </c>
      <c r="B2" t="s">
        <v>30</v>
      </c>
      <c r="C2" t="s">
        <v>359</v>
      </c>
      <c r="D2" t="s">
        <v>289</v>
      </c>
      <c r="E2" t="s">
        <v>360</v>
      </c>
      <c r="F2" s="66">
        <v>1</v>
      </c>
      <c r="G2" t="s">
        <v>361</v>
      </c>
      <c r="H2" t="s">
        <v>362</v>
      </c>
      <c r="I2" s="261" t="s">
        <v>363</v>
      </c>
      <c r="J2" t="s">
        <v>364</v>
      </c>
      <c r="K2" s="261" t="s">
        <v>365</v>
      </c>
      <c r="N2" s="8" t="s">
        <v>366</v>
      </c>
      <c r="O2" s="48">
        <f>SUM('A-Contracts-Partnerships Matrix'!D109)</f>
        <v>593088</v>
      </c>
    </row>
    <row r="3" spans="1:15" ht="43.2" x14ac:dyDescent="0.3">
      <c r="A3" t="s">
        <v>367</v>
      </c>
      <c r="B3" t="s">
        <v>32</v>
      </c>
      <c r="C3" t="s">
        <v>33</v>
      </c>
      <c r="D3" t="s">
        <v>368</v>
      </c>
      <c r="E3" t="s">
        <v>369</v>
      </c>
      <c r="F3" s="66">
        <v>0.5</v>
      </c>
      <c r="G3" t="s">
        <v>370</v>
      </c>
      <c r="H3" t="s">
        <v>371</v>
      </c>
      <c r="I3" s="261" t="s">
        <v>290</v>
      </c>
      <c r="J3" t="s">
        <v>372</v>
      </c>
      <c r="K3" s="261" t="s">
        <v>373</v>
      </c>
      <c r="N3" s="8" t="s">
        <v>374</v>
      </c>
      <c r="O3" s="49">
        <f>SUM('B - Operating Budget'!C15+'B - Operating Budget'!C18+'B - Operating Budget'!C23+'B - Operating Budget'!C27)-('B - Operating Budget'!B15+'B - Operating Budget'!B18+'B - Operating Budget'!B23+'B - Operating Budget'!B27)</f>
        <v>0</v>
      </c>
    </row>
    <row r="4" spans="1:15" ht="28.8" x14ac:dyDescent="0.3">
      <c r="A4" t="s">
        <v>375</v>
      </c>
      <c r="C4" t="s">
        <v>376</v>
      </c>
      <c r="D4" t="s">
        <v>377</v>
      </c>
      <c r="G4" t="s">
        <v>378</v>
      </c>
      <c r="H4" t="s">
        <v>379</v>
      </c>
      <c r="I4" s="261" t="s">
        <v>380</v>
      </c>
      <c r="J4" t="s">
        <v>381</v>
      </c>
      <c r="K4" s="261" t="s">
        <v>382</v>
      </c>
      <c r="N4" s="8" t="s">
        <v>383</v>
      </c>
      <c r="O4" s="48">
        <f>SUM('D- Optional-County Adm Budget'!D117)</f>
        <v>0</v>
      </c>
    </row>
    <row r="5" spans="1:15" ht="21.6" customHeight="1" thickBot="1" x14ac:dyDescent="0.35">
      <c r="A5" t="s">
        <v>384</v>
      </c>
      <c r="C5" t="s">
        <v>385</v>
      </c>
      <c r="D5" t="s">
        <v>386</v>
      </c>
      <c r="J5" t="s">
        <v>387</v>
      </c>
      <c r="K5" s="261" t="s">
        <v>388</v>
      </c>
      <c r="N5" s="8" t="s">
        <v>389</v>
      </c>
      <c r="O5" s="55">
        <f>SUM(O2:O4)</f>
        <v>593088</v>
      </c>
    </row>
    <row r="6" spans="1:15" ht="18.600000000000001" customHeight="1" thickTop="1" x14ac:dyDescent="0.3">
      <c r="A6" t="s">
        <v>390</v>
      </c>
      <c r="C6" t="s">
        <v>391</v>
      </c>
      <c r="J6" t="s">
        <v>392</v>
      </c>
      <c r="K6" s="261" t="s">
        <v>393</v>
      </c>
      <c r="N6" s="46" t="s">
        <v>394</v>
      </c>
      <c r="O6" s="45"/>
    </row>
    <row r="7" spans="1:15" x14ac:dyDescent="0.3">
      <c r="A7" t="s">
        <v>3</v>
      </c>
      <c r="J7" t="s">
        <v>395</v>
      </c>
      <c r="K7" s="261" t="s">
        <v>396</v>
      </c>
      <c r="N7" s="8" t="s">
        <v>397</v>
      </c>
      <c r="O7" s="48">
        <f>SUM('A-Contracts-Partnerships Matrix'!N109+'A-Contracts-Partnerships Matrix'!P109)</f>
        <v>7941228.5</v>
      </c>
    </row>
    <row r="8" spans="1:15" ht="28.8" x14ac:dyDescent="0.3">
      <c r="J8" t="s">
        <v>398</v>
      </c>
      <c r="K8" s="261" t="s">
        <v>399</v>
      </c>
      <c r="N8" s="8" t="s">
        <v>400</v>
      </c>
      <c r="O8" s="49">
        <f>SUM('B - Operating Budget'!C15+'B - Operating Budget'!C18+'B - Operating Budget'!C23+'B - Operating Budget'!C27)-O3</f>
        <v>3843954.0399999996</v>
      </c>
    </row>
    <row r="9" spans="1:15" x14ac:dyDescent="0.3">
      <c r="J9" t="s">
        <v>401</v>
      </c>
      <c r="N9" s="8" t="s">
        <v>402</v>
      </c>
      <c r="O9" s="48">
        <f>SUM('D- Optional-County Adm Budget'!E117)/2</f>
        <v>5969599</v>
      </c>
    </row>
    <row r="10" spans="1:15" x14ac:dyDescent="0.3">
      <c r="J10" t="s">
        <v>403</v>
      </c>
      <c r="N10" s="8" t="s">
        <v>404</v>
      </c>
      <c r="O10" s="48">
        <f>IF('C -Fund Sources &amp; Total FY Fund'!$E$9&gt;0,'C -Fund Sources &amp; Total FY Fund'!$E$9/2,0)</f>
        <v>0</v>
      </c>
    </row>
    <row r="11" spans="1:15" ht="15" thickBot="1" x14ac:dyDescent="0.35">
      <c r="J11" t="s">
        <v>405</v>
      </c>
      <c r="N11" s="8" t="s">
        <v>406</v>
      </c>
      <c r="O11" s="55">
        <f>SUM(O7:O10)</f>
        <v>17754781.539999999</v>
      </c>
    </row>
    <row r="12" spans="1:15" ht="15" thickTop="1" x14ac:dyDescent="0.3">
      <c r="N12" s="8"/>
      <c r="O12" s="45"/>
    </row>
    <row r="13" spans="1:15" x14ac:dyDescent="0.3">
      <c r="N13" s="50" t="s">
        <v>407</v>
      </c>
      <c r="O13" s="45"/>
    </row>
    <row r="14" spans="1:15" x14ac:dyDescent="0.3">
      <c r="N14" s="8" t="s">
        <v>408</v>
      </c>
      <c r="O14" s="48">
        <f>SUM('A-Contracts-Partnerships Matrix'!O109+'A-Contracts-Partnerships Matrix'!Q109)</f>
        <v>7941228.5</v>
      </c>
    </row>
    <row r="15" spans="1:15" x14ac:dyDescent="0.3">
      <c r="N15" s="8" t="s">
        <v>409</v>
      </c>
      <c r="O15" s="49">
        <f>SUM('B - Operating Budget'!B15+'B - Operating Budget'!B18+'B - Operating Budget'!B23+'B - Operating Budget'!B27)</f>
        <v>3843954.0399999996</v>
      </c>
    </row>
    <row r="16" spans="1:15" x14ac:dyDescent="0.3">
      <c r="N16" s="8" t="s">
        <v>410</v>
      </c>
      <c r="O16" s="48">
        <f>SUM('D- Optional-County Adm Budget'!E117)/2</f>
        <v>5969599</v>
      </c>
    </row>
    <row r="17" spans="14:15" x14ac:dyDescent="0.3">
      <c r="N17" s="8" t="s">
        <v>404</v>
      </c>
      <c r="O17" s="48">
        <f>IF('C -Fund Sources &amp; Total FY Fund'!$E$9&gt;0,'C -Fund Sources &amp; Total FY Fund'!$E$9/2,0)</f>
        <v>0</v>
      </c>
    </row>
    <row r="18" spans="14:15" ht="15" thickBot="1" x14ac:dyDescent="0.35">
      <c r="N18" s="8" t="s">
        <v>411</v>
      </c>
      <c r="O18" s="55">
        <f>SUM(O14:O17)</f>
        <v>17754781.539999999</v>
      </c>
    </row>
    <row r="19" spans="14:15" ht="15.6" thickTop="1" thickBot="1" x14ac:dyDescent="0.35">
      <c r="N19" s="51" t="s">
        <v>412</v>
      </c>
      <c r="O19" s="52">
        <f>SUM(O5+O11+O18)</f>
        <v>36102651.079999998</v>
      </c>
    </row>
    <row r="20" spans="14:15" ht="15" thickBot="1" x14ac:dyDescent="0.35"/>
    <row r="21" spans="14:15" x14ac:dyDescent="0.3">
      <c r="N21" s="370" t="s">
        <v>413</v>
      </c>
      <c r="O21" s="371"/>
    </row>
    <row r="22" spans="14:15" x14ac:dyDescent="0.3">
      <c r="N22" s="372"/>
      <c r="O22" s="373"/>
    </row>
    <row r="23" spans="14:15" x14ac:dyDescent="0.3">
      <c r="N23" s="372"/>
      <c r="O23" s="373"/>
    </row>
    <row r="24" spans="14:15" x14ac:dyDescent="0.3">
      <c r="N24" s="372"/>
      <c r="O24" s="373"/>
    </row>
    <row r="25" spans="14:15" x14ac:dyDescent="0.3">
      <c r="N25" s="372"/>
      <c r="O25" s="373"/>
    </row>
    <row r="26" spans="14:15" x14ac:dyDescent="0.3">
      <c r="N26" s="372"/>
      <c r="O26" s="373"/>
    </row>
    <row r="27" spans="14:15" x14ac:dyDescent="0.3">
      <c r="N27" s="372"/>
      <c r="O27" s="373"/>
    </row>
    <row r="28" spans="14:15" x14ac:dyDescent="0.3">
      <c r="N28" s="372"/>
      <c r="O28" s="373"/>
    </row>
    <row r="29" spans="14:15" ht="15" thickBot="1" x14ac:dyDescent="0.35">
      <c r="N29" s="374"/>
      <c r="O29" s="375"/>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B47" sqref="B47"/>
    </sheetView>
  </sheetViews>
  <sheetFormatPr defaultColWidth="8.6640625" defaultRowHeight="13.8" x14ac:dyDescent="0.25"/>
  <cols>
    <col min="1" max="2" width="30.6640625" style="24" customWidth="1"/>
    <col min="3" max="3" width="25.6640625" style="24" customWidth="1"/>
    <col min="4" max="5" width="14.5546875" style="24" customWidth="1"/>
    <col min="6" max="7" width="30.6640625" style="24" customWidth="1"/>
    <col min="8" max="8" width="18.33203125" style="24" customWidth="1"/>
    <col min="9" max="9" width="15.88671875" style="24" customWidth="1"/>
    <col min="10" max="16384" width="8.6640625" style="24"/>
  </cols>
  <sheetData>
    <row r="1" spans="1:9" ht="34.5" customHeight="1" x14ac:dyDescent="0.25">
      <c r="A1" s="44" t="s">
        <v>0</v>
      </c>
      <c r="B1" s="39" t="str">
        <f>'A-Contracts-Partnerships Matrix'!B1</f>
        <v>NEW JERSEY</v>
      </c>
      <c r="C1" s="39"/>
      <c r="D1" s="39"/>
      <c r="E1" s="39"/>
      <c r="F1" s="39"/>
      <c r="G1" s="39"/>
      <c r="H1" s="40" t="s">
        <v>2</v>
      </c>
      <c r="I1" s="56" t="str">
        <f>'A-Contracts-Partnerships Matrix'!J1</f>
        <v>FY2025</v>
      </c>
    </row>
    <row r="2" spans="1:9" ht="15.6" x14ac:dyDescent="0.3">
      <c r="A2" s="328" t="s">
        <v>57</v>
      </c>
      <c r="B2" s="329"/>
      <c r="C2" s="329"/>
      <c r="D2" s="329"/>
      <c r="E2" s="329"/>
      <c r="F2" s="329"/>
      <c r="G2" s="329"/>
      <c r="H2" s="329"/>
      <c r="I2" s="330"/>
    </row>
    <row r="3" spans="1:9" ht="84" customHeight="1" x14ac:dyDescent="0.3">
      <c r="A3" s="331" t="s">
        <v>58</v>
      </c>
      <c r="B3" s="332"/>
      <c r="C3" s="332"/>
      <c r="D3" s="332"/>
      <c r="E3" s="332"/>
      <c r="F3" s="332"/>
      <c r="G3" s="332"/>
      <c r="H3" s="332"/>
      <c r="I3" s="333"/>
    </row>
    <row r="4" spans="1:9" ht="18" customHeight="1" x14ac:dyDescent="0.3">
      <c r="A4" s="306"/>
      <c r="B4" s="307"/>
      <c r="C4" s="307"/>
      <c r="D4" s="307"/>
      <c r="E4" s="307"/>
      <c r="F4" s="307"/>
      <c r="G4" s="307"/>
      <c r="H4" s="307"/>
      <c r="I4" s="308"/>
    </row>
    <row r="5" spans="1:9" ht="18" customHeight="1" x14ac:dyDescent="0.3">
      <c r="A5" s="193" t="s">
        <v>59</v>
      </c>
      <c r="B5" s="191"/>
      <c r="C5" s="191"/>
      <c r="D5" s="191"/>
      <c r="E5" s="191"/>
      <c r="F5" s="191"/>
      <c r="G5" s="191"/>
      <c r="H5" s="191"/>
      <c r="I5" s="192">
        <f>SUM(I8:I108)</f>
        <v>2985</v>
      </c>
    </row>
    <row r="6" spans="1:9" ht="18" customHeight="1" x14ac:dyDescent="0.3">
      <c r="A6" s="306"/>
      <c r="B6" s="307"/>
      <c r="C6" s="307"/>
      <c r="D6" s="307"/>
      <c r="E6" s="307"/>
      <c r="F6" s="307"/>
      <c r="G6" s="307"/>
      <c r="H6" s="307"/>
      <c r="I6" s="308"/>
    </row>
    <row r="7" spans="1:9" s="73" customFormat="1" ht="41.4" x14ac:dyDescent="0.25">
      <c r="A7" s="117" t="s">
        <v>60</v>
      </c>
      <c r="B7" s="118" t="s">
        <v>61</v>
      </c>
      <c r="C7" s="118" t="s">
        <v>62</v>
      </c>
      <c r="D7" s="118" t="s">
        <v>63</v>
      </c>
      <c r="E7" s="118" t="s">
        <v>64</v>
      </c>
      <c r="F7" s="118" t="s">
        <v>65</v>
      </c>
      <c r="G7" s="118" t="s">
        <v>66</v>
      </c>
      <c r="H7" s="118" t="s">
        <v>67</v>
      </c>
      <c r="I7" s="119" t="s">
        <v>68</v>
      </c>
    </row>
    <row r="8" spans="1:9" ht="41.4" x14ac:dyDescent="0.25">
      <c r="A8" s="108" t="s">
        <v>69</v>
      </c>
      <c r="B8" s="109" t="s">
        <v>31</v>
      </c>
      <c r="C8" s="109" t="s">
        <v>70</v>
      </c>
      <c r="D8" s="110">
        <v>2025</v>
      </c>
      <c r="E8" s="110">
        <v>2026</v>
      </c>
      <c r="F8" s="226" t="s">
        <v>71</v>
      </c>
      <c r="G8" s="109" t="s">
        <v>72</v>
      </c>
      <c r="H8" s="110" t="s">
        <v>32</v>
      </c>
      <c r="I8" s="111">
        <f>'A-Contracts-Partnerships Matrix'!J8</f>
        <v>200</v>
      </c>
    </row>
    <row r="9" spans="1:9" ht="41.4" x14ac:dyDescent="0.25">
      <c r="A9" s="108" t="s">
        <v>69</v>
      </c>
      <c r="B9" s="109" t="s">
        <v>34</v>
      </c>
      <c r="C9" s="109" t="s">
        <v>73</v>
      </c>
      <c r="D9" s="110">
        <v>2025</v>
      </c>
      <c r="E9" s="110">
        <v>2026</v>
      </c>
      <c r="F9" s="109" t="s">
        <v>71</v>
      </c>
      <c r="G9" s="109" t="s">
        <v>72</v>
      </c>
      <c r="H9" s="110" t="s">
        <v>32</v>
      </c>
      <c r="I9" s="111">
        <f>'A-Contracts-Partnerships Matrix'!J9</f>
        <v>100</v>
      </c>
    </row>
    <row r="10" spans="1:9" ht="12.9" customHeight="1" x14ac:dyDescent="0.25">
      <c r="A10" s="108"/>
      <c r="B10" s="79"/>
      <c r="C10" s="109"/>
      <c r="D10" s="110"/>
      <c r="E10" s="110"/>
      <c r="F10" s="109"/>
      <c r="G10" s="109"/>
      <c r="H10" s="110"/>
      <c r="I10" s="111"/>
    </row>
    <row r="11" spans="1:9" ht="41.4" x14ac:dyDescent="0.25">
      <c r="A11" s="108" t="s">
        <v>69</v>
      </c>
      <c r="B11" s="109" t="s">
        <v>74</v>
      </c>
      <c r="C11" s="109" t="s">
        <v>75</v>
      </c>
      <c r="D11" s="110">
        <v>2025</v>
      </c>
      <c r="E11" s="110">
        <v>2026</v>
      </c>
      <c r="F11" s="109" t="s">
        <v>76</v>
      </c>
      <c r="G11" s="109" t="s">
        <v>72</v>
      </c>
      <c r="H11" s="110" t="s">
        <v>32</v>
      </c>
      <c r="I11" s="79">
        <f>'A-Contracts-Partnerships Matrix'!J10</f>
        <v>129</v>
      </c>
    </row>
    <row r="12" spans="1:9" ht="41.4" x14ac:dyDescent="0.25">
      <c r="A12" s="108" t="s">
        <v>69</v>
      </c>
      <c r="B12" s="109" t="s">
        <v>36</v>
      </c>
      <c r="C12" s="109" t="s">
        <v>77</v>
      </c>
      <c r="D12" s="110">
        <v>2025</v>
      </c>
      <c r="E12" s="110">
        <v>2026</v>
      </c>
      <c r="F12" s="109" t="s">
        <v>76</v>
      </c>
      <c r="G12" s="109" t="s">
        <v>72</v>
      </c>
      <c r="H12" s="110" t="s">
        <v>32</v>
      </c>
      <c r="I12" s="111">
        <f>'A-Contracts-Partnerships Matrix'!J11</f>
        <v>225</v>
      </c>
    </row>
    <row r="13" spans="1:9" ht="41.4" x14ac:dyDescent="0.25">
      <c r="A13" s="108" t="s">
        <v>69</v>
      </c>
      <c r="B13" s="109" t="s">
        <v>78</v>
      </c>
      <c r="C13" s="109" t="s">
        <v>79</v>
      </c>
      <c r="D13" s="110">
        <v>2025</v>
      </c>
      <c r="E13" s="110">
        <v>2026</v>
      </c>
      <c r="F13" s="109" t="s">
        <v>76</v>
      </c>
      <c r="G13" s="109" t="s">
        <v>72</v>
      </c>
      <c r="H13" s="110" t="s">
        <v>32</v>
      </c>
      <c r="I13" s="111">
        <f>'A-Contracts-Partnerships Matrix'!J12</f>
        <v>200</v>
      </c>
    </row>
    <row r="14" spans="1:9" ht="41.4" x14ac:dyDescent="0.25">
      <c r="A14" s="108" t="s">
        <v>69</v>
      </c>
      <c r="B14" s="109" t="s">
        <v>80</v>
      </c>
      <c r="C14" s="109" t="s">
        <v>81</v>
      </c>
      <c r="D14" s="110">
        <v>2025</v>
      </c>
      <c r="E14" s="110">
        <v>2026</v>
      </c>
      <c r="F14" s="109" t="s">
        <v>76</v>
      </c>
      <c r="G14" s="109" t="s">
        <v>72</v>
      </c>
      <c r="H14" s="110" t="s">
        <v>32</v>
      </c>
      <c r="I14" s="111">
        <f>'A-Contracts-Partnerships Matrix'!J13</f>
        <v>300</v>
      </c>
    </row>
    <row r="15" spans="1:9" ht="41.4" x14ac:dyDescent="0.25">
      <c r="A15" s="108" t="s">
        <v>69</v>
      </c>
      <c r="B15" s="109" t="s">
        <v>82</v>
      </c>
      <c r="C15" s="109" t="s">
        <v>83</v>
      </c>
      <c r="D15" s="110">
        <v>2025</v>
      </c>
      <c r="E15" s="110">
        <v>2026</v>
      </c>
      <c r="F15" s="109" t="s">
        <v>76</v>
      </c>
      <c r="G15" s="109" t="s">
        <v>72</v>
      </c>
      <c r="H15" s="110" t="s">
        <v>32</v>
      </c>
      <c r="I15" s="111">
        <f>'A-Contracts-Partnerships Matrix'!J14</f>
        <v>100</v>
      </c>
    </row>
    <row r="16" spans="1:9" ht="41.4" x14ac:dyDescent="0.25">
      <c r="A16" s="108" t="s">
        <v>69</v>
      </c>
      <c r="B16" s="109" t="s">
        <v>40</v>
      </c>
      <c r="C16" s="109" t="s">
        <v>84</v>
      </c>
      <c r="D16" s="110">
        <v>2025</v>
      </c>
      <c r="E16" s="110">
        <v>2026</v>
      </c>
      <c r="F16" s="109" t="s">
        <v>76</v>
      </c>
      <c r="G16" s="109" t="s">
        <v>72</v>
      </c>
      <c r="H16" s="110" t="s">
        <v>32</v>
      </c>
      <c r="I16" s="111">
        <f>'A-Contracts-Partnerships Matrix'!J15</f>
        <v>50</v>
      </c>
    </row>
    <row r="17" spans="1:9" ht="41.4" x14ac:dyDescent="0.25">
      <c r="A17" s="108" t="s">
        <v>69</v>
      </c>
      <c r="B17" s="109" t="s">
        <v>41</v>
      </c>
      <c r="C17" s="109" t="s">
        <v>85</v>
      </c>
      <c r="D17" s="110">
        <v>2025</v>
      </c>
      <c r="E17" s="110">
        <v>2026</v>
      </c>
      <c r="F17" s="109" t="s">
        <v>76</v>
      </c>
      <c r="G17" s="109" t="s">
        <v>72</v>
      </c>
      <c r="H17" s="110" t="s">
        <v>32</v>
      </c>
      <c r="I17" s="111">
        <f>'A-Contracts-Partnerships Matrix'!J16</f>
        <v>220</v>
      </c>
    </row>
    <row r="18" spans="1:9" ht="41.4" x14ac:dyDescent="0.25">
      <c r="A18" s="108" t="s">
        <v>69</v>
      </c>
      <c r="B18" s="109" t="s">
        <v>42</v>
      </c>
      <c r="C18" s="109" t="s">
        <v>86</v>
      </c>
      <c r="D18" s="110">
        <v>2025</v>
      </c>
      <c r="E18" s="110">
        <v>2026</v>
      </c>
      <c r="F18" s="109" t="s">
        <v>76</v>
      </c>
      <c r="G18" s="109" t="s">
        <v>72</v>
      </c>
      <c r="H18" s="110" t="s">
        <v>32</v>
      </c>
      <c r="I18" s="111">
        <f>'A-Contracts-Partnerships Matrix'!J17</f>
        <v>100</v>
      </c>
    </row>
    <row r="19" spans="1:9" ht="41.4" x14ac:dyDescent="0.25">
      <c r="A19" s="108" t="s">
        <v>69</v>
      </c>
      <c r="B19" s="109" t="s">
        <v>43</v>
      </c>
      <c r="C19" s="109" t="s">
        <v>87</v>
      </c>
      <c r="D19" s="110">
        <v>2025</v>
      </c>
      <c r="E19" s="110">
        <v>2026</v>
      </c>
      <c r="F19" s="109" t="s">
        <v>76</v>
      </c>
      <c r="G19" s="109" t="s">
        <v>72</v>
      </c>
      <c r="H19" s="110" t="s">
        <v>32</v>
      </c>
      <c r="I19" s="111">
        <f>'A-Contracts-Partnerships Matrix'!J18</f>
        <v>125</v>
      </c>
    </row>
    <row r="20" spans="1:9" ht="41.4" x14ac:dyDescent="0.25">
      <c r="A20" s="108" t="s">
        <v>69</v>
      </c>
      <c r="B20" s="109" t="s">
        <v>44</v>
      </c>
      <c r="C20" s="109" t="s">
        <v>88</v>
      </c>
      <c r="D20" s="110">
        <v>2025</v>
      </c>
      <c r="E20" s="110">
        <v>2026</v>
      </c>
      <c r="F20" s="109" t="s">
        <v>76</v>
      </c>
      <c r="G20" s="109" t="s">
        <v>72</v>
      </c>
      <c r="H20" s="110" t="s">
        <v>32</v>
      </c>
      <c r="I20" s="111">
        <f>'A-Contracts-Partnerships Matrix'!J19</f>
        <v>90</v>
      </c>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ht="41.4" x14ac:dyDescent="0.25">
      <c r="A23" s="108" t="s">
        <v>69</v>
      </c>
      <c r="B23" s="109" t="s">
        <v>45</v>
      </c>
      <c r="C23" s="109" t="s">
        <v>89</v>
      </c>
      <c r="D23" s="110">
        <v>2025</v>
      </c>
      <c r="E23" s="110">
        <v>2026</v>
      </c>
      <c r="F23" s="109" t="s">
        <v>76</v>
      </c>
      <c r="G23" s="109" t="s">
        <v>72</v>
      </c>
      <c r="H23" s="110" t="s">
        <v>32</v>
      </c>
      <c r="I23" s="111">
        <f>'A-Contracts-Partnerships Matrix'!J20</f>
        <v>94</v>
      </c>
    </row>
    <row r="24" spans="1:9" ht="41.4" x14ac:dyDescent="0.25">
      <c r="A24" s="108" t="s">
        <v>69</v>
      </c>
      <c r="B24" s="109" t="s">
        <v>46</v>
      </c>
      <c r="C24" s="109" t="s">
        <v>90</v>
      </c>
      <c r="D24" s="110">
        <v>2025</v>
      </c>
      <c r="E24" s="110">
        <v>2026</v>
      </c>
      <c r="F24" s="109" t="s">
        <v>76</v>
      </c>
      <c r="G24" s="109" t="s">
        <v>72</v>
      </c>
      <c r="H24" s="110" t="s">
        <v>32</v>
      </c>
      <c r="I24" s="111">
        <f>'A-Contracts-Partnerships Matrix'!J21</f>
        <v>53</v>
      </c>
    </row>
    <row r="25" spans="1:9" ht="41.4" x14ac:dyDescent="0.25">
      <c r="A25" s="108" t="s">
        <v>69</v>
      </c>
      <c r="B25" s="109" t="s">
        <v>91</v>
      </c>
      <c r="C25" s="109" t="s">
        <v>92</v>
      </c>
      <c r="D25" s="110">
        <v>2025</v>
      </c>
      <c r="E25" s="110">
        <v>2026</v>
      </c>
      <c r="F25" s="109" t="s">
        <v>76</v>
      </c>
      <c r="G25" s="109" t="s">
        <v>72</v>
      </c>
      <c r="H25" s="110" t="s">
        <v>32</v>
      </c>
      <c r="I25" s="111">
        <f>'A-Contracts-Partnerships Matrix'!J22</f>
        <v>119</v>
      </c>
    </row>
    <row r="26" spans="1:9" ht="41.4" x14ac:dyDescent="0.25">
      <c r="A26" s="108" t="s">
        <v>69</v>
      </c>
      <c r="B26" s="109" t="s">
        <v>48</v>
      </c>
      <c r="C26" s="109" t="s">
        <v>93</v>
      </c>
      <c r="D26" s="110">
        <v>2025</v>
      </c>
      <c r="E26" s="110">
        <v>2026</v>
      </c>
      <c r="F26" s="109" t="s">
        <v>76</v>
      </c>
      <c r="G26" s="109" t="s">
        <v>72</v>
      </c>
      <c r="H26" s="110" t="s">
        <v>32</v>
      </c>
      <c r="I26" s="111">
        <f>'A-Contracts-Partnerships Matrix'!J23</f>
        <v>223</v>
      </c>
    </row>
    <row r="27" spans="1:9" ht="41.4" x14ac:dyDescent="0.25">
      <c r="A27" s="108" t="s">
        <v>69</v>
      </c>
      <c r="B27" s="109" t="s">
        <v>49</v>
      </c>
      <c r="C27" s="109" t="s">
        <v>94</v>
      </c>
      <c r="D27" s="110">
        <v>2025</v>
      </c>
      <c r="E27" s="110">
        <v>2026</v>
      </c>
      <c r="F27" s="109" t="s">
        <v>76</v>
      </c>
      <c r="G27" s="109" t="s">
        <v>72</v>
      </c>
      <c r="H27" s="110" t="s">
        <v>32</v>
      </c>
      <c r="I27" s="111">
        <f>'A-Contracts-Partnerships Matrix'!J24</f>
        <v>177</v>
      </c>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ht="41.4" x14ac:dyDescent="0.25">
      <c r="A30" s="108" t="s">
        <v>69</v>
      </c>
      <c r="B30" s="109" t="s">
        <v>50</v>
      </c>
      <c r="C30" s="109" t="s">
        <v>95</v>
      </c>
      <c r="D30" s="110">
        <v>2025</v>
      </c>
      <c r="E30" s="110">
        <v>2026</v>
      </c>
      <c r="F30" s="109" t="s">
        <v>76</v>
      </c>
      <c r="G30" s="109" t="s">
        <v>72</v>
      </c>
      <c r="H30" s="110" t="s">
        <v>32</v>
      </c>
      <c r="I30" s="111">
        <f>'A-Contracts-Partnerships Matrix'!J26</f>
        <v>40</v>
      </c>
    </row>
    <row r="31" spans="1:9" ht="41.4" x14ac:dyDescent="0.25">
      <c r="A31" s="108" t="s">
        <v>69</v>
      </c>
      <c r="B31" s="109" t="s">
        <v>51</v>
      </c>
      <c r="C31" s="109" t="s">
        <v>96</v>
      </c>
      <c r="D31" s="110">
        <v>2025</v>
      </c>
      <c r="E31" s="110">
        <v>2026</v>
      </c>
      <c r="F31" s="109" t="s">
        <v>76</v>
      </c>
      <c r="G31" s="109" t="s">
        <v>72</v>
      </c>
      <c r="H31" s="110" t="s">
        <v>32</v>
      </c>
      <c r="I31" s="111">
        <f>'A-Contracts-Partnerships Matrix'!J27</f>
        <v>40</v>
      </c>
    </row>
    <row r="32" spans="1:9" ht="41.4" x14ac:dyDescent="0.25">
      <c r="A32" s="108" t="s">
        <v>69</v>
      </c>
      <c r="B32" s="109" t="s">
        <v>52</v>
      </c>
      <c r="C32" s="109" t="s">
        <v>96</v>
      </c>
      <c r="D32" s="110">
        <v>2025</v>
      </c>
      <c r="E32" s="110">
        <v>2026</v>
      </c>
      <c r="F32" s="109" t="s">
        <v>76</v>
      </c>
      <c r="G32" s="109" t="s">
        <v>72</v>
      </c>
      <c r="H32" s="110" t="s">
        <v>32</v>
      </c>
      <c r="I32" s="111">
        <f>'A-Contracts-Partnerships Matrix'!J28</f>
        <v>40</v>
      </c>
    </row>
    <row r="33" spans="1:9" ht="41.4" x14ac:dyDescent="0.25">
      <c r="A33" s="108" t="s">
        <v>69</v>
      </c>
      <c r="B33" s="109" t="s">
        <v>53</v>
      </c>
      <c r="C33" s="109" t="s">
        <v>96</v>
      </c>
      <c r="D33" s="110">
        <v>2025</v>
      </c>
      <c r="E33" s="110">
        <v>2026</v>
      </c>
      <c r="F33" s="109" t="s">
        <v>76</v>
      </c>
      <c r="G33" s="109" t="s">
        <v>72</v>
      </c>
      <c r="H33" s="110" t="s">
        <v>32</v>
      </c>
      <c r="I33" s="111">
        <f>'A-Contracts-Partnerships Matrix'!J29</f>
        <v>40</v>
      </c>
    </row>
    <row r="34" spans="1:9" ht="41.4" x14ac:dyDescent="0.25">
      <c r="A34" s="108" t="s">
        <v>69</v>
      </c>
      <c r="B34" s="109" t="s">
        <v>54</v>
      </c>
      <c r="C34" s="109" t="s">
        <v>97</v>
      </c>
      <c r="D34" s="110">
        <v>2025</v>
      </c>
      <c r="E34" s="110">
        <v>2026</v>
      </c>
      <c r="F34" s="109" t="s">
        <v>76</v>
      </c>
      <c r="G34" s="109" t="s">
        <v>72</v>
      </c>
      <c r="H34" s="110" t="s">
        <v>32</v>
      </c>
      <c r="I34" s="111">
        <f>'A-Contracts-Partnerships Matrix'!J30</f>
        <v>40</v>
      </c>
    </row>
    <row r="35" spans="1:9" ht="41.4" x14ac:dyDescent="0.25">
      <c r="A35" s="108" t="s">
        <v>69</v>
      </c>
      <c r="B35" s="109" t="s">
        <v>98</v>
      </c>
      <c r="C35" s="109" t="s">
        <v>97</v>
      </c>
      <c r="D35" s="110">
        <v>2025</v>
      </c>
      <c r="E35" s="110">
        <v>2026</v>
      </c>
      <c r="F35" s="109" t="s">
        <v>76</v>
      </c>
      <c r="G35" s="109" t="s">
        <v>72</v>
      </c>
      <c r="H35" s="110" t="s">
        <v>32</v>
      </c>
      <c r="I35" s="111">
        <f>'A-Contracts-Partnerships Matrix'!J31</f>
        <v>40</v>
      </c>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ht="41.4" x14ac:dyDescent="0.25">
      <c r="A38" s="108" t="s">
        <v>69</v>
      </c>
      <c r="B38" s="109" t="s">
        <v>98</v>
      </c>
      <c r="C38" s="109" t="s">
        <v>99</v>
      </c>
      <c r="D38" s="110">
        <v>2025</v>
      </c>
      <c r="E38" s="110">
        <v>2026</v>
      </c>
      <c r="F38" s="109" t="s">
        <v>76</v>
      </c>
      <c r="G38" s="109" t="s">
        <v>72</v>
      </c>
      <c r="H38" s="110" t="s">
        <v>32</v>
      </c>
      <c r="I38" s="111">
        <v>40</v>
      </c>
    </row>
    <row r="39" spans="1:9" ht="41.4" x14ac:dyDescent="0.25">
      <c r="A39" s="108" t="s">
        <v>69</v>
      </c>
      <c r="B39" s="109" t="s">
        <v>98</v>
      </c>
      <c r="C39" s="109" t="s">
        <v>99</v>
      </c>
      <c r="D39" s="110">
        <v>2025</v>
      </c>
      <c r="E39" s="110">
        <v>2026</v>
      </c>
      <c r="F39" s="109" t="s">
        <v>76</v>
      </c>
      <c r="G39" s="109" t="s">
        <v>72</v>
      </c>
      <c r="H39" s="110" t="s">
        <v>32</v>
      </c>
      <c r="I39" s="111">
        <v>40</v>
      </c>
    </row>
    <row r="40" spans="1:9" ht="41.4" x14ac:dyDescent="0.25">
      <c r="A40" s="108" t="s">
        <v>69</v>
      </c>
      <c r="B40" s="109" t="s">
        <v>98</v>
      </c>
      <c r="C40" s="109" t="s">
        <v>99</v>
      </c>
      <c r="D40" s="110">
        <v>2025</v>
      </c>
      <c r="E40" s="110">
        <v>2026</v>
      </c>
      <c r="F40" s="109" t="s">
        <v>76</v>
      </c>
      <c r="G40" s="109" t="s">
        <v>72</v>
      </c>
      <c r="H40" s="110" t="s">
        <v>32</v>
      </c>
      <c r="I40" s="111">
        <v>40</v>
      </c>
    </row>
    <row r="41" spans="1:9" ht="41.4" x14ac:dyDescent="0.25">
      <c r="A41" s="108" t="s">
        <v>69</v>
      </c>
      <c r="B41" s="109" t="s">
        <v>98</v>
      </c>
      <c r="C41" s="109" t="s">
        <v>99</v>
      </c>
      <c r="D41" s="110">
        <v>2025</v>
      </c>
      <c r="E41" s="110">
        <v>2026</v>
      </c>
      <c r="F41" s="109" t="s">
        <v>76</v>
      </c>
      <c r="G41" s="109" t="s">
        <v>72</v>
      </c>
      <c r="H41" s="110" t="s">
        <v>32</v>
      </c>
      <c r="I41" s="111">
        <v>40</v>
      </c>
    </row>
    <row r="42" spans="1:9" ht="41.4" x14ac:dyDescent="0.25">
      <c r="A42" s="108" t="s">
        <v>69</v>
      </c>
      <c r="B42" s="109" t="s">
        <v>98</v>
      </c>
      <c r="C42" s="109" t="s">
        <v>99</v>
      </c>
      <c r="D42" s="110">
        <v>2025</v>
      </c>
      <c r="E42" s="110">
        <v>2026</v>
      </c>
      <c r="F42" s="109" t="s">
        <v>76</v>
      </c>
      <c r="G42" s="109" t="s">
        <v>72</v>
      </c>
      <c r="H42" s="110" t="s">
        <v>32</v>
      </c>
      <c r="I42" s="111">
        <v>40</v>
      </c>
    </row>
    <row r="43" spans="1:9" ht="41.4" x14ac:dyDescent="0.25">
      <c r="A43" s="108" t="s">
        <v>69</v>
      </c>
      <c r="B43" s="109" t="s">
        <v>98</v>
      </c>
      <c r="C43" s="109" t="s">
        <v>99</v>
      </c>
      <c r="D43" s="110">
        <v>2025</v>
      </c>
      <c r="E43" s="110">
        <v>2026</v>
      </c>
      <c r="F43" s="109" t="s">
        <v>76</v>
      </c>
      <c r="G43" s="109" t="s">
        <v>72</v>
      </c>
      <c r="H43" s="110" t="s">
        <v>32</v>
      </c>
      <c r="I43" s="111">
        <v>40</v>
      </c>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100</v>
      </c>
      <c r="B113" s="116"/>
      <c r="C113" s="116"/>
      <c r="D113" s="116"/>
      <c r="E113" s="116"/>
      <c r="F113" s="116"/>
      <c r="G113" s="116"/>
      <c r="H113" s="116"/>
      <c r="I113" s="116">
        <f>SUM(I8:I108)</f>
        <v>2985</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26"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94" zoomScaleNormal="94" workbookViewId="0">
      <selection activeCell="A10" sqref="A10"/>
    </sheetView>
  </sheetViews>
  <sheetFormatPr defaultColWidth="8.6640625" defaultRowHeight="13.8" x14ac:dyDescent="0.25"/>
  <cols>
    <col min="1" max="1" width="40.6640625" style="73" customWidth="1"/>
    <col min="2" max="4" width="20.6640625" style="24" customWidth="1"/>
    <col min="5" max="16384" width="8.6640625" style="24"/>
  </cols>
  <sheetData>
    <row r="1" spans="1:4" x14ac:dyDescent="0.25">
      <c r="A1" s="44" t="s">
        <v>0</v>
      </c>
      <c r="B1" s="39" t="str">
        <f>'A-Contracts-Partnerships Matrix'!B1</f>
        <v>NEW JERSEY</v>
      </c>
      <c r="C1" s="40" t="s">
        <v>2</v>
      </c>
      <c r="D1" s="56" t="str">
        <f>'A-Contracts-Partnerships Matrix'!J1</f>
        <v>FY2025</v>
      </c>
    </row>
    <row r="2" spans="1:4" ht="16.2" thickBot="1" x14ac:dyDescent="0.35">
      <c r="A2" s="334" t="s">
        <v>101</v>
      </c>
      <c r="B2" s="335"/>
      <c r="C2" s="335"/>
      <c r="D2" s="336"/>
    </row>
    <row r="3" spans="1:4" ht="84" customHeight="1" thickBot="1" x14ac:dyDescent="0.35">
      <c r="A3" s="337" t="s">
        <v>102</v>
      </c>
      <c r="B3" s="338"/>
      <c r="C3" s="338"/>
      <c r="D3" s="339"/>
    </row>
    <row r="4" spans="1:4" x14ac:dyDescent="0.25">
      <c r="A4" s="128" t="s">
        <v>103</v>
      </c>
      <c r="B4" s="129" t="s">
        <v>104</v>
      </c>
      <c r="C4" s="129" t="s">
        <v>105</v>
      </c>
      <c r="D4" s="130" t="s">
        <v>100</v>
      </c>
    </row>
    <row r="5" spans="1:4" x14ac:dyDescent="0.25">
      <c r="A5" s="131" t="s">
        <v>106</v>
      </c>
      <c r="B5" s="132"/>
      <c r="C5" s="132"/>
      <c r="D5" s="133"/>
    </row>
    <row r="6" spans="1:4" x14ac:dyDescent="0.25">
      <c r="A6" s="134" t="s">
        <v>107</v>
      </c>
      <c r="B6" s="135">
        <v>1562260.89</v>
      </c>
      <c r="C6" s="135">
        <v>1562260.89</v>
      </c>
      <c r="D6" s="136">
        <f>SUM(B6:C6)</f>
        <v>3124521.78</v>
      </c>
    </row>
    <row r="7" spans="1:4" ht="55.2" x14ac:dyDescent="0.25">
      <c r="A7" s="134" t="s">
        <v>108</v>
      </c>
      <c r="B7" s="137"/>
      <c r="C7" s="137"/>
      <c r="D7" s="138"/>
    </row>
    <row r="8" spans="1:4" x14ac:dyDescent="0.25">
      <c r="A8" s="139">
        <v>0.77149999999999996</v>
      </c>
      <c r="B8" s="140">
        <f>ROUND(SUM(B6*$A$8),0)</f>
        <v>1205284</v>
      </c>
      <c r="C8" s="140">
        <f>ROUND(SUM(C6*$A$8),0)</f>
        <v>1205284</v>
      </c>
      <c r="D8" s="136">
        <f>ROUND(SUM(B8:C8),0)</f>
        <v>2410568</v>
      </c>
    </row>
    <row r="9" spans="1:4" x14ac:dyDescent="0.25">
      <c r="A9" s="141" t="s">
        <v>109</v>
      </c>
      <c r="B9" s="135"/>
      <c r="C9" s="135"/>
      <c r="D9" s="136">
        <f>ROUND(SUM(B9:C9),0)</f>
        <v>0</v>
      </c>
    </row>
    <row r="10" spans="1:4" x14ac:dyDescent="0.25">
      <c r="A10" s="142" t="s">
        <v>110</v>
      </c>
      <c r="B10" s="135"/>
      <c r="C10" s="135"/>
      <c r="D10" s="136">
        <f t="shared" ref="D10:D15" si="0">SUM(B10:C10)</f>
        <v>0</v>
      </c>
    </row>
    <row r="11" spans="1:4" x14ac:dyDescent="0.25">
      <c r="A11" s="142" t="s">
        <v>111</v>
      </c>
      <c r="B11" s="135"/>
      <c r="C11" s="135"/>
      <c r="D11" s="136">
        <f t="shared" si="0"/>
        <v>0</v>
      </c>
    </row>
    <row r="12" spans="1:4" x14ac:dyDescent="0.25">
      <c r="A12" s="142" t="s">
        <v>112</v>
      </c>
      <c r="B12" s="135">
        <v>1000</v>
      </c>
      <c r="C12" s="135">
        <v>1000</v>
      </c>
      <c r="D12" s="136">
        <f t="shared" si="0"/>
        <v>2000</v>
      </c>
    </row>
    <row r="13" spans="1:4" x14ac:dyDescent="0.25">
      <c r="A13" s="142" t="s">
        <v>113</v>
      </c>
      <c r="B13" s="135">
        <v>1060476.1499999999</v>
      </c>
      <c r="C13" s="135">
        <v>1060476.1499999999</v>
      </c>
      <c r="D13" s="136">
        <f t="shared" si="0"/>
        <v>2120952.2999999998</v>
      </c>
    </row>
    <row r="14" spans="1:4" x14ac:dyDescent="0.25">
      <c r="A14" s="142" t="s">
        <v>114</v>
      </c>
      <c r="B14" s="135"/>
      <c r="C14" s="135"/>
      <c r="D14" s="136">
        <f t="shared" si="0"/>
        <v>0</v>
      </c>
    </row>
    <row r="15" spans="1:4" x14ac:dyDescent="0.25">
      <c r="A15" s="143" t="s">
        <v>115</v>
      </c>
      <c r="B15" s="140">
        <f>SUM(B6:B14)</f>
        <v>3829021.0399999996</v>
      </c>
      <c r="C15" s="140">
        <f>SUM(C6:C14)</f>
        <v>3829021.0399999996</v>
      </c>
      <c r="D15" s="136">
        <f t="shared" si="0"/>
        <v>7658042.0799999991</v>
      </c>
    </row>
    <row r="16" spans="1:4" ht="41.4" x14ac:dyDescent="0.25">
      <c r="A16" s="144" t="s">
        <v>116</v>
      </c>
      <c r="B16" s="140">
        <f>SUM('A-Contracts-Partnerships Matrix'!O109+'A-Contracts-Partnerships Matrix'!Q109)</f>
        <v>7941228.5</v>
      </c>
      <c r="C16" s="140">
        <f>SUM('A-Contracts-Partnerships Matrix'!N109+'A-Contracts-Partnerships Matrix'!P109)+'A-Contracts-Partnerships Matrix'!D109</f>
        <v>8534316.5</v>
      </c>
      <c r="D16" s="136">
        <f>SUM(B16:C16)</f>
        <v>16475545</v>
      </c>
    </row>
    <row r="17" spans="1:4" ht="41.4" x14ac:dyDescent="0.25">
      <c r="A17" s="144" t="s">
        <v>117</v>
      </c>
      <c r="B17" s="140">
        <f>SUM('D- Optional-County Adm Budget'!E117)/2</f>
        <v>5969599</v>
      </c>
      <c r="C17" s="140">
        <f>SUM('D- Optional-County Adm Budget'!E117)/2+'D- Optional-County Adm Budget'!D117</f>
        <v>5969599</v>
      </c>
      <c r="D17" s="136">
        <f>SUM(B17:C17)</f>
        <v>11939198</v>
      </c>
    </row>
    <row r="18" spans="1:4" ht="63.75" customHeight="1" x14ac:dyDescent="0.25">
      <c r="A18" s="134" t="s">
        <v>118</v>
      </c>
      <c r="B18" s="135"/>
      <c r="C18" s="135"/>
      <c r="D18" s="136">
        <f>SUM(B18:C18)</f>
        <v>0</v>
      </c>
    </row>
    <row r="19" spans="1:4" x14ac:dyDescent="0.25">
      <c r="A19" s="144" t="s">
        <v>119</v>
      </c>
      <c r="B19" s="140">
        <f>SUM(B15:B18)</f>
        <v>17739848.539999999</v>
      </c>
      <c r="C19" s="140">
        <f>SUM(C15:C18)</f>
        <v>18332936.539999999</v>
      </c>
      <c r="D19" s="136">
        <f>SUM(B19:C19)</f>
        <v>36072785.079999998</v>
      </c>
    </row>
    <row r="20" spans="1:4" x14ac:dyDescent="0.25">
      <c r="A20" s="145"/>
      <c r="B20" s="132"/>
      <c r="C20" s="132"/>
      <c r="D20" s="133"/>
    </row>
    <row r="21" spans="1:4" ht="55.2" x14ac:dyDescent="0.25">
      <c r="A21" s="131" t="s">
        <v>120</v>
      </c>
      <c r="B21" s="132"/>
      <c r="C21" s="132"/>
      <c r="D21" s="133"/>
    </row>
    <row r="22" spans="1:4" ht="27.6" x14ac:dyDescent="0.25">
      <c r="A22" s="145" t="s">
        <v>121</v>
      </c>
      <c r="B22" s="137"/>
      <c r="C22" s="137"/>
      <c r="D22" s="138"/>
    </row>
    <row r="23" spans="1:4" x14ac:dyDescent="0.25">
      <c r="A23" s="139">
        <v>3.8999999999999998E-3</v>
      </c>
      <c r="B23" s="140">
        <f>ROUND(SUM(B15*A23),0)</f>
        <v>14933</v>
      </c>
      <c r="C23" s="140">
        <f>ROUND(SUM(C15*A23),0)</f>
        <v>14933</v>
      </c>
      <c r="D23" s="136">
        <f>SUM(B23:C23)</f>
        <v>29866</v>
      </c>
    </row>
    <row r="24" spans="1:4" x14ac:dyDescent="0.25">
      <c r="A24" s="146"/>
      <c r="B24" s="137"/>
      <c r="C24" s="137"/>
      <c r="D24" s="138"/>
    </row>
    <row r="25" spans="1:4" ht="27.6" x14ac:dyDescent="0.25">
      <c r="A25" s="139" t="s">
        <v>122</v>
      </c>
      <c r="B25" s="135"/>
      <c r="C25" s="135"/>
      <c r="D25" s="136">
        <f t="shared" ref="D25:D26" si="1">SUM(B25:C25)</f>
        <v>0</v>
      </c>
    </row>
    <row r="26" spans="1:4" ht="41.4" x14ac:dyDescent="0.25">
      <c r="A26" s="139" t="s">
        <v>123</v>
      </c>
      <c r="B26" s="135"/>
      <c r="C26" s="135"/>
      <c r="D26" s="136">
        <f t="shared" si="1"/>
        <v>0</v>
      </c>
    </row>
    <row r="27" spans="1:4" ht="27.6" x14ac:dyDescent="0.25">
      <c r="A27" s="139" t="s">
        <v>124</v>
      </c>
      <c r="B27" s="147">
        <f>SUM(B25:B26)</f>
        <v>0</v>
      </c>
      <c r="C27" s="147">
        <f>SUM(C25:C26)</f>
        <v>0</v>
      </c>
      <c r="D27" s="136">
        <f>SUM(B27:C27)</f>
        <v>0</v>
      </c>
    </row>
    <row r="28" spans="1:4" x14ac:dyDescent="0.25">
      <c r="A28" s="145"/>
      <c r="B28" s="132"/>
      <c r="C28" s="132"/>
      <c r="D28" s="133"/>
    </row>
    <row r="29" spans="1:4" x14ac:dyDescent="0.25">
      <c r="A29" s="131" t="s">
        <v>125</v>
      </c>
      <c r="B29" s="132"/>
      <c r="C29" s="132"/>
      <c r="D29" s="133"/>
    </row>
    <row r="30" spans="1:4" x14ac:dyDescent="0.25">
      <c r="A30" s="134" t="s">
        <v>126</v>
      </c>
      <c r="B30" s="135">
        <v>0</v>
      </c>
      <c r="C30" s="135">
        <v>0</v>
      </c>
      <c r="D30" s="136">
        <f>SUM(B30:C30)</f>
        <v>0</v>
      </c>
    </row>
    <row r="31" spans="1:4" x14ac:dyDescent="0.25">
      <c r="A31" s="145"/>
      <c r="B31" s="132"/>
      <c r="C31" s="132"/>
      <c r="D31" s="133"/>
    </row>
    <row r="32" spans="1:4" x14ac:dyDescent="0.25">
      <c r="A32" s="148" t="s">
        <v>127</v>
      </c>
      <c r="B32" s="140">
        <f>SUM(B19+B23+B27+B30)</f>
        <v>17754781.539999999</v>
      </c>
      <c r="C32" s="140">
        <f t="shared" ref="C32:D32" si="2">SUM(C19+C23+C27+C30)</f>
        <v>18347869.539999999</v>
      </c>
      <c r="D32" s="140">
        <f t="shared" si="2"/>
        <v>36102651.079999998</v>
      </c>
    </row>
    <row r="33" spans="1:13" x14ac:dyDescent="0.25">
      <c r="A33" s="145"/>
      <c r="B33" s="132"/>
      <c r="C33" s="132"/>
      <c r="D33" s="133"/>
    </row>
    <row r="34" spans="1:13" x14ac:dyDescent="0.25">
      <c r="A34" s="131" t="s">
        <v>128</v>
      </c>
      <c r="B34" s="132"/>
      <c r="C34" s="132"/>
      <c r="D34" s="133"/>
    </row>
    <row r="35" spans="1:13" ht="41.4" x14ac:dyDescent="0.25">
      <c r="A35" s="134" t="s">
        <v>129</v>
      </c>
      <c r="B35" s="135">
        <v>13591</v>
      </c>
      <c r="C35" s="135">
        <v>13591</v>
      </c>
      <c r="D35" s="136">
        <f>SUM(B35:C35)</f>
        <v>27182</v>
      </c>
      <c r="E35" s="73"/>
      <c r="F35" s="73"/>
      <c r="G35" s="73"/>
      <c r="H35" s="73"/>
      <c r="I35" s="73"/>
      <c r="J35" s="73"/>
      <c r="K35" s="73"/>
      <c r="L35" s="73"/>
      <c r="M35" s="73"/>
    </row>
    <row r="36" spans="1:13" ht="41.4" x14ac:dyDescent="0.25">
      <c r="A36" s="134" t="s">
        <v>130</v>
      </c>
      <c r="B36" s="135">
        <v>412005</v>
      </c>
      <c r="C36" s="135">
        <v>412005</v>
      </c>
      <c r="D36" s="136">
        <f>SUM(B36:C36)</f>
        <v>824010</v>
      </c>
      <c r="E36" s="73"/>
      <c r="F36" s="73"/>
      <c r="G36" s="73"/>
      <c r="H36" s="73"/>
      <c r="I36" s="73"/>
      <c r="J36" s="73"/>
      <c r="K36" s="73"/>
      <c r="L36" s="73"/>
      <c r="M36" s="73"/>
    </row>
    <row r="37" spans="1:13" x14ac:dyDescent="0.25">
      <c r="A37" s="134" t="s">
        <v>131</v>
      </c>
      <c r="B37" s="135">
        <v>0</v>
      </c>
      <c r="C37" s="149"/>
      <c r="D37" s="136">
        <f>SUM(B37:C37)</f>
        <v>0</v>
      </c>
    </row>
    <row r="38" spans="1:13" x14ac:dyDescent="0.25">
      <c r="A38" s="144" t="s">
        <v>132</v>
      </c>
      <c r="B38" s="140">
        <f>SUM(B35:B37)</f>
        <v>425596</v>
      </c>
      <c r="C38" s="140">
        <f>SUM(C35:C36)</f>
        <v>425596</v>
      </c>
      <c r="D38" s="136">
        <f>SUM(B38:C38)</f>
        <v>851192</v>
      </c>
    </row>
    <row r="39" spans="1:13" x14ac:dyDescent="0.25">
      <c r="A39" s="145"/>
      <c r="B39" s="132"/>
      <c r="C39" s="132"/>
      <c r="D39" s="133"/>
    </row>
    <row r="40" spans="1:13" ht="14.4" thickBot="1" x14ac:dyDescent="0.3">
      <c r="A40" s="150" t="s">
        <v>133</v>
      </c>
      <c r="B40" s="151">
        <f>SUM(B32+B38)</f>
        <v>18180377.539999999</v>
      </c>
      <c r="C40" s="151">
        <f>SUM(C32+C38)</f>
        <v>18773465.539999999</v>
      </c>
      <c r="D40" s="152">
        <f>SUM(B40:C40)</f>
        <v>36953843.079999998</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D10" sqref="D10"/>
    </sheetView>
  </sheetViews>
  <sheetFormatPr defaultRowHeight="14.4" x14ac:dyDescent="0.3"/>
  <cols>
    <col min="1" max="1" width="12.6640625" customWidth="1"/>
    <col min="2" max="2" width="42.33203125" customWidth="1"/>
    <col min="3" max="6" width="20.6640625" customWidth="1"/>
    <col min="9" max="9" width="14.33203125" bestFit="1" customWidth="1"/>
    <col min="14" max="14" width="98.33203125" customWidth="1"/>
    <col min="15" max="15" width="19.109375" customWidth="1"/>
    <col min="16" max="16" width="4.6640625" customWidth="1"/>
    <col min="17" max="17" width="14.6640625" customWidth="1"/>
  </cols>
  <sheetData>
    <row r="1" spans="1:17" ht="55.8" x14ac:dyDescent="0.3">
      <c r="A1" s="38" t="s">
        <v>0</v>
      </c>
      <c r="B1" s="39" t="str">
        <f>'A-Contracts-Partnerships Matrix'!B1</f>
        <v>NEW JERSEY</v>
      </c>
      <c r="D1" s="39"/>
      <c r="E1" s="40" t="s">
        <v>2</v>
      </c>
      <c r="F1" s="56" t="str">
        <f>'A-Contracts-Partnerships Matrix'!J1</f>
        <v>FY2025</v>
      </c>
      <c r="N1" s="349"/>
      <c r="O1" s="349"/>
    </row>
    <row r="2" spans="1:17" ht="15.6" x14ac:dyDescent="0.3">
      <c r="A2" s="323" t="s">
        <v>134</v>
      </c>
      <c r="B2" s="324"/>
      <c r="C2" s="324"/>
      <c r="D2" s="324"/>
      <c r="E2" s="324"/>
      <c r="F2" s="347"/>
      <c r="N2" s="349"/>
      <c r="O2" s="349"/>
    </row>
    <row r="3" spans="1:17" ht="66" customHeight="1" thickBot="1" x14ac:dyDescent="0.35">
      <c r="A3" s="344" t="s">
        <v>135</v>
      </c>
      <c r="B3" s="345"/>
      <c r="C3" s="345"/>
      <c r="D3" s="345"/>
      <c r="E3" s="345"/>
      <c r="F3" s="346"/>
      <c r="N3" s="348"/>
      <c r="O3" s="348"/>
    </row>
    <row r="4" spans="1:17" ht="62.4" x14ac:dyDescent="0.3">
      <c r="A4" s="27" t="s">
        <v>136</v>
      </c>
      <c r="B4" s="28" t="s">
        <v>137</v>
      </c>
      <c r="C4" s="26" t="s">
        <v>138</v>
      </c>
      <c r="D4" s="29" t="s">
        <v>139</v>
      </c>
      <c r="E4" s="29" t="s">
        <v>140</v>
      </c>
      <c r="F4" s="30" t="s">
        <v>141</v>
      </c>
      <c r="N4" s="265"/>
      <c r="O4" s="287"/>
    </row>
    <row r="5" spans="1:17" ht="15.6" x14ac:dyDescent="0.3">
      <c r="A5" s="22" t="s">
        <v>142</v>
      </c>
      <c r="B5" s="12" t="s">
        <v>143</v>
      </c>
      <c r="C5" s="17">
        <f>VLOOKUP(B1,'FY25 Final Allocations 5-10-24'!1:1048576,2,FALSE)</f>
        <v>593088</v>
      </c>
      <c r="D5" s="17">
        <f>IF(lookups!O5&gt;C5,C5,lookups!O5)</f>
        <v>593088</v>
      </c>
      <c r="E5" s="17">
        <f>SUM(D5-C5)</f>
        <v>0</v>
      </c>
      <c r="F5" s="20">
        <f>SUM(D5/C5)</f>
        <v>1</v>
      </c>
      <c r="I5" s="25"/>
      <c r="O5" s="288"/>
    </row>
    <row r="6" spans="1:17" ht="15.6" x14ac:dyDescent="0.3">
      <c r="A6" s="22" t="s">
        <v>142</v>
      </c>
      <c r="B6" s="23" t="s">
        <v>144</v>
      </c>
      <c r="C6" s="31"/>
      <c r="D6" s="53">
        <f>IF(lookups!O5-D5&gt;C6,C6,lookups!O5-D5)</f>
        <v>0</v>
      </c>
      <c r="E6" s="17">
        <f t="shared" ref="E6:E7" si="0">SUM(D6-C6)</f>
        <v>0</v>
      </c>
      <c r="F6" s="11"/>
      <c r="O6" s="289"/>
    </row>
    <row r="7" spans="1:17" ht="15.6" x14ac:dyDescent="0.3">
      <c r="A7" s="22" t="s">
        <v>142</v>
      </c>
      <c r="B7" s="12" t="s">
        <v>145</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142</v>
      </c>
      <c r="B9" s="12" t="s">
        <v>146</v>
      </c>
      <c r="C9" s="17">
        <f>SUM(C5:C7)</f>
        <v>593088</v>
      </c>
      <c r="D9" s="17">
        <f>SUM(D5:D7)</f>
        <v>593088</v>
      </c>
      <c r="E9" s="17">
        <f>SUM(lookups!O5-C9)</f>
        <v>0</v>
      </c>
      <c r="F9" s="20"/>
      <c r="I9" s="25"/>
      <c r="N9" s="250"/>
    </row>
    <row r="10" spans="1:17" ht="15.6" x14ac:dyDescent="0.3">
      <c r="A10" s="22" t="s">
        <v>142</v>
      </c>
      <c r="B10" s="12" t="s">
        <v>147</v>
      </c>
      <c r="C10" s="2"/>
      <c r="D10" s="32">
        <f>SUM(lookups!O11)</f>
        <v>17754781.539999999</v>
      </c>
      <c r="E10" s="4"/>
      <c r="F10" s="7"/>
      <c r="I10" s="25"/>
      <c r="O10" s="288"/>
    </row>
    <row r="11" spans="1:17" ht="15.6" x14ac:dyDescent="0.3">
      <c r="A11" s="22" t="s">
        <v>148</v>
      </c>
      <c r="B11" s="12" t="s">
        <v>147</v>
      </c>
      <c r="C11" s="2"/>
      <c r="D11" s="17">
        <f>SUM(lookups!O18)</f>
        <v>17754781.539999999</v>
      </c>
      <c r="E11" s="4"/>
      <c r="F11" s="7"/>
      <c r="O11" s="289"/>
    </row>
    <row r="12" spans="1:17" ht="15.6" x14ac:dyDescent="0.3">
      <c r="A12" s="22" t="s">
        <v>142</v>
      </c>
      <c r="B12" s="12" t="s">
        <v>149</v>
      </c>
      <c r="C12" s="2"/>
      <c r="D12" s="32">
        <f>SUM('B - Operating Budget'!C38)</f>
        <v>425596</v>
      </c>
      <c r="E12" s="4"/>
      <c r="F12" s="7"/>
      <c r="O12" s="288"/>
      <c r="Q12" s="25"/>
    </row>
    <row r="13" spans="1:17" ht="15.6" x14ac:dyDescent="0.3">
      <c r="A13" s="22" t="s">
        <v>148</v>
      </c>
      <c r="B13" s="12" t="s">
        <v>149</v>
      </c>
      <c r="C13" s="2"/>
      <c r="D13" s="17">
        <f>SUM('B - Operating Budget'!B38)</f>
        <v>425596</v>
      </c>
      <c r="E13" s="4"/>
      <c r="F13" s="7"/>
      <c r="I13" s="25"/>
      <c r="O13" s="288"/>
    </row>
    <row r="14" spans="1:17" ht="15.6" x14ac:dyDescent="0.3">
      <c r="A14" s="22" t="s">
        <v>142</v>
      </c>
      <c r="B14" s="12" t="s">
        <v>150</v>
      </c>
      <c r="C14" s="17">
        <f>VLOOKUP(B1,'FY25 Final Allocations 5-10-24'!1:1048576,3,FALSE)</f>
        <v>28186767</v>
      </c>
      <c r="D14" s="17">
        <f>SUM(D10+D12)</f>
        <v>18180377.539999999</v>
      </c>
      <c r="E14" s="17">
        <f>SUM(D14-C14)</f>
        <v>-10006389.460000001</v>
      </c>
      <c r="F14" s="11"/>
      <c r="O14" s="289"/>
    </row>
    <row r="15" spans="1:17" ht="15.6" x14ac:dyDescent="0.3">
      <c r="A15" s="22" t="s">
        <v>151</v>
      </c>
      <c r="B15" s="13"/>
      <c r="C15" s="1"/>
      <c r="D15" s="1"/>
      <c r="E15" s="1"/>
      <c r="F15" s="3"/>
    </row>
    <row r="16" spans="1:17" ht="16.2" thickBot="1" x14ac:dyDescent="0.35">
      <c r="A16" s="41"/>
      <c r="B16" s="14" t="s">
        <v>100</v>
      </c>
      <c r="C16" s="19">
        <f>SUM(C9+C14)</f>
        <v>28779855</v>
      </c>
      <c r="D16" s="19">
        <f>SUM(D9:D13)</f>
        <v>36953843.079999998</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41" t="s">
        <v>152</v>
      </c>
      <c r="C20" s="342"/>
      <c r="D20" s="342"/>
      <c r="E20" s="343"/>
      <c r="F20" s="33"/>
      <c r="O20" s="288"/>
    </row>
    <row r="21" spans="1:15" x14ac:dyDescent="0.3">
      <c r="A21" s="24"/>
      <c r="B21" s="42"/>
      <c r="C21" s="24"/>
      <c r="D21" s="24"/>
      <c r="E21" s="43"/>
      <c r="F21" s="24"/>
      <c r="O21" s="289"/>
    </row>
    <row r="22" spans="1:15" ht="22.2" customHeight="1" x14ac:dyDescent="0.3">
      <c r="A22" s="24"/>
      <c r="B22" s="36" t="s">
        <v>137</v>
      </c>
      <c r="C22" s="15" t="s">
        <v>104</v>
      </c>
      <c r="D22" s="15" t="s">
        <v>105</v>
      </c>
      <c r="E22" s="37" t="s">
        <v>100</v>
      </c>
      <c r="F22" s="309"/>
      <c r="O22" s="289"/>
    </row>
    <row r="23" spans="1:15" ht="15.6" x14ac:dyDescent="0.3">
      <c r="A23" s="24"/>
      <c r="B23" s="5" t="s">
        <v>143</v>
      </c>
      <c r="C23" s="4"/>
      <c r="D23" s="17">
        <f>SUM(D5+D6)</f>
        <v>593088</v>
      </c>
      <c r="E23" s="18">
        <f t="shared" ref="E23:E30" si="1">SUM(C23:D23)</f>
        <v>593088</v>
      </c>
      <c r="F23" s="34"/>
    </row>
    <row r="24" spans="1:15" ht="15.6" x14ac:dyDescent="0.3">
      <c r="A24" s="24"/>
      <c r="B24" s="5" t="s">
        <v>145</v>
      </c>
      <c r="C24" s="4"/>
      <c r="D24" s="17">
        <f>SUM(D7)</f>
        <v>0</v>
      </c>
      <c r="E24" s="18">
        <f t="shared" si="1"/>
        <v>0</v>
      </c>
      <c r="F24" s="34"/>
      <c r="N24" s="340"/>
      <c r="O24" s="340"/>
    </row>
    <row r="25" spans="1:15" ht="15.75" customHeight="1" x14ac:dyDescent="0.3">
      <c r="A25" s="24"/>
      <c r="B25" s="5"/>
      <c r="C25" s="4"/>
      <c r="D25" s="290"/>
      <c r="E25" s="291"/>
      <c r="F25" s="34"/>
      <c r="N25" s="340"/>
      <c r="O25" s="340"/>
    </row>
    <row r="26" spans="1:15" ht="16.2" thickBot="1" x14ac:dyDescent="0.35">
      <c r="A26" s="24"/>
      <c r="B26" s="5" t="s">
        <v>147</v>
      </c>
      <c r="C26" s="19">
        <f>SUM(D11)</f>
        <v>17754781.539999999</v>
      </c>
      <c r="D26" s="19">
        <f>SUM(D10)</f>
        <v>17754781.539999999</v>
      </c>
      <c r="E26" s="21">
        <f t="shared" si="1"/>
        <v>35509563.079999998</v>
      </c>
      <c r="F26" s="35"/>
      <c r="N26" s="340"/>
      <c r="O26" s="340"/>
    </row>
    <row r="27" spans="1:15" ht="15.6" x14ac:dyDescent="0.3">
      <c r="A27" s="24"/>
      <c r="B27" s="5" t="s">
        <v>153</v>
      </c>
      <c r="C27" s="281">
        <f>SUM('B - Operating Budget'!B35)</f>
        <v>13591</v>
      </c>
      <c r="D27" s="281">
        <f>SUM('B - Operating Budget'!C35)</f>
        <v>13591</v>
      </c>
      <c r="E27" s="282"/>
      <c r="F27" s="35"/>
      <c r="N27" s="340"/>
      <c r="O27" s="340"/>
    </row>
    <row r="28" spans="1:15" ht="16.2" thickBot="1" x14ac:dyDescent="0.35">
      <c r="A28" s="24"/>
      <c r="B28" s="5" t="s">
        <v>154</v>
      </c>
      <c r="C28" s="19">
        <f>SUM('B - Operating Budget'!B36)</f>
        <v>412005</v>
      </c>
      <c r="D28" s="19">
        <f>SUM('B - Operating Budget'!C36)</f>
        <v>412005</v>
      </c>
      <c r="E28" s="21"/>
      <c r="F28" s="35"/>
      <c r="N28" s="340"/>
      <c r="O28" s="340"/>
    </row>
    <row r="29" spans="1:15" ht="15.6" x14ac:dyDescent="0.3">
      <c r="A29" s="24"/>
      <c r="B29" s="5" t="s">
        <v>155</v>
      </c>
      <c r="C29" s="281">
        <f>SUM(D13)</f>
        <v>425596</v>
      </c>
      <c r="D29" s="281">
        <f>SUM(D12)</f>
        <v>425596</v>
      </c>
      <c r="E29" s="282">
        <f t="shared" si="1"/>
        <v>851192</v>
      </c>
      <c r="F29" s="35"/>
      <c r="N29" s="340"/>
      <c r="O29" s="340"/>
    </row>
    <row r="30" spans="1:15" ht="16.2" thickBot="1" x14ac:dyDescent="0.35">
      <c r="A30" s="24"/>
      <c r="B30" s="5" t="s">
        <v>156</v>
      </c>
      <c r="C30" s="285">
        <f>SUM(C26+C29)</f>
        <v>18180377.539999999</v>
      </c>
      <c r="D30" s="285">
        <f>SUM(D26+D29)</f>
        <v>18180377.539999999</v>
      </c>
      <c r="E30" s="286">
        <f t="shared" si="1"/>
        <v>36360755.079999998</v>
      </c>
      <c r="F30" s="34"/>
      <c r="N30" s="340"/>
      <c r="O30" s="340"/>
    </row>
    <row r="31" spans="1:15" ht="16.2" thickTop="1" x14ac:dyDescent="0.3">
      <c r="A31" s="24"/>
      <c r="B31" s="5"/>
      <c r="C31" s="283"/>
      <c r="D31" s="283"/>
      <c r="E31" s="284"/>
      <c r="F31" s="35"/>
      <c r="N31" s="340"/>
      <c r="O31" s="340"/>
    </row>
    <row r="32" spans="1:15" ht="16.2" thickBot="1" x14ac:dyDescent="0.35">
      <c r="A32" s="24"/>
      <c r="B32" s="6" t="s">
        <v>100</v>
      </c>
      <c r="C32" s="19">
        <f>SUM(C30)</f>
        <v>18180377.539999999</v>
      </c>
      <c r="D32" s="19">
        <f>SUM(D23:D25)+D30</f>
        <v>18773465.539999999</v>
      </c>
      <c r="E32" s="21">
        <f>SUM(C32+D32)</f>
        <v>36953843.079999998</v>
      </c>
      <c r="F32" s="35"/>
      <c r="N32" s="340"/>
      <c r="O32" s="340"/>
    </row>
    <row r="33" spans="14:15" x14ac:dyDescent="0.3">
      <c r="N33" s="340"/>
      <c r="O33" s="340"/>
    </row>
    <row r="34" spans="14:15" x14ac:dyDescent="0.3">
      <c r="N34" s="340"/>
      <c r="O34" s="340"/>
    </row>
    <row r="42" spans="14:15" x14ac:dyDescent="0.3">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topLeftCell="A7" zoomScale="110" zoomScaleNormal="110" workbookViewId="0">
      <selection activeCell="A31" sqref="A31"/>
    </sheetView>
  </sheetViews>
  <sheetFormatPr defaultColWidth="8.6640625" defaultRowHeight="13.8" x14ac:dyDescent="0.25"/>
  <cols>
    <col min="1" max="1" width="28.44140625" style="24" customWidth="1"/>
    <col min="2" max="2" width="14.44140625" style="107" customWidth="1"/>
    <col min="3" max="3" width="23.5546875" style="24" customWidth="1"/>
    <col min="4" max="7" width="16.88671875" style="24" customWidth="1"/>
    <col min="8" max="16384" width="8.6640625" style="24"/>
  </cols>
  <sheetData>
    <row r="1" spans="1:16" ht="27.6" x14ac:dyDescent="0.25">
      <c r="A1" s="44" t="s">
        <v>0</v>
      </c>
      <c r="B1" s="312" t="str">
        <f>'A-Contracts-Partnerships Matrix'!B1</f>
        <v>NEW JERSEY</v>
      </c>
      <c r="C1" s="39"/>
      <c r="D1" s="39"/>
      <c r="E1" s="39"/>
      <c r="F1" s="40" t="s">
        <v>2</v>
      </c>
      <c r="G1" s="56" t="str">
        <f>'A-Contracts-Partnerships Matrix'!J1</f>
        <v>FY2025</v>
      </c>
    </row>
    <row r="2" spans="1:16" ht="16.2" thickBot="1" x14ac:dyDescent="0.35">
      <c r="A2" s="323" t="s">
        <v>157</v>
      </c>
      <c r="B2" s="324"/>
      <c r="C2" s="324"/>
      <c r="D2" s="324"/>
      <c r="E2" s="324"/>
      <c r="F2" s="324"/>
      <c r="G2" s="347"/>
    </row>
    <row r="3" spans="1:16" x14ac:dyDescent="0.25">
      <c r="A3" s="350" t="s">
        <v>158</v>
      </c>
      <c r="B3" s="351"/>
      <c r="C3" s="351"/>
      <c r="D3" s="351"/>
      <c r="E3" s="351"/>
      <c r="F3" s="351"/>
      <c r="G3" s="352"/>
    </row>
    <row r="4" spans="1:16" ht="79.5" customHeight="1" x14ac:dyDescent="0.3">
      <c r="A4" s="325" t="s">
        <v>159</v>
      </c>
      <c r="B4" s="326"/>
      <c r="C4" s="326"/>
      <c r="D4" s="326"/>
      <c r="E4" s="326"/>
      <c r="F4" s="326"/>
      <c r="G4" s="327"/>
    </row>
    <row r="5" spans="1:16" ht="18" customHeight="1" thickBot="1" x14ac:dyDescent="0.35">
      <c r="A5" s="303"/>
      <c r="B5" s="304"/>
      <c r="C5" s="304"/>
      <c r="D5" s="304"/>
      <c r="E5" s="304"/>
      <c r="F5" s="304"/>
      <c r="G5" s="305"/>
    </row>
    <row r="6" spans="1:16" ht="18" customHeight="1" thickBot="1" x14ac:dyDescent="0.35">
      <c r="A6" s="248" t="s">
        <v>59</v>
      </c>
      <c r="B6" s="157">
        <f>COUNT(B9:B107)+COUNTIF(B9:B107,"X")</f>
        <v>0</v>
      </c>
      <c r="C6" s="186"/>
      <c r="D6" s="249">
        <f t="shared" ref="D6:F6" si="0">SUM(D9:D107)</f>
        <v>0</v>
      </c>
      <c r="E6" s="249">
        <f t="shared" si="0"/>
        <v>11939198</v>
      </c>
      <c r="F6" s="249">
        <f t="shared" si="0"/>
        <v>851193</v>
      </c>
      <c r="G6" s="249">
        <f>SUM(G9:G107)</f>
        <v>12790391</v>
      </c>
    </row>
    <row r="7" spans="1:16" ht="18" customHeight="1" x14ac:dyDescent="0.3">
      <c r="A7" s="303"/>
      <c r="B7" s="304"/>
      <c r="C7" s="304"/>
      <c r="D7" s="304"/>
      <c r="E7" s="304"/>
      <c r="F7" s="304"/>
      <c r="G7" s="305"/>
    </row>
    <row r="8" spans="1:16" ht="55.2" x14ac:dyDescent="0.25">
      <c r="A8" s="153" t="s">
        <v>160</v>
      </c>
      <c r="B8" s="154" t="s">
        <v>161</v>
      </c>
      <c r="C8" s="154" t="s">
        <v>162</v>
      </c>
      <c r="D8" s="154" t="s">
        <v>163</v>
      </c>
      <c r="E8" s="154" t="s">
        <v>164</v>
      </c>
      <c r="F8" s="154" t="s">
        <v>165</v>
      </c>
      <c r="G8" s="155" t="s">
        <v>166</v>
      </c>
      <c r="H8" s="73"/>
      <c r="I8" s="73"/>
      <c r="J8" s="73"/>
      <c r="K8" s="73"/>
      <c r="L8" s="73"/>
      <c r="M8" s="73"/>
      <c r="N8" s="73"/>
      <c r="O8" s="73"/>
      <c r="P8" s="73"/>
    </row>
    <row r="9" spans="1:16" x14ac:dyDescent="0.25">
      <c r="A9" s="108" t="s">
        <v>167</v>
      </c>
      <c r="B9" s="276"/>
      <c r="C9" s="110"/>
      <c r="D9" s="277"/>
      <c r="E9" s="277">
        <v>231480</v>
      </c>
      <c r="F9" s="277">
        <v>37084.5</v>
      </c>
      <c r="G9" s="278">
        <f>SUM(D9:F9)</f>
        <v>268564.5</v>
      </c>
    </row>
    <row r="10" spans="1:16" x14ac:dyDescent="0.25">
      <c r="A10" s="108" t="s">
        <v>168</v>
      </c>
      <c r="B10" s="276"/>
      <c r="C10" s="110"/>
      <c r="D10" s="277"/>
      <c r="E10" s="277">
        <v>39943</v>
      </c>
      <c r="F10" s="277">
        <v>161094</v>
      </c>
      <c r="G10" s="278">
        <f t="shared" ref="G10:G107" si="1">SUM(D10:F10)</f>
        <v>201037</v>
      </c>
    </row>
    <row r="11" spans="1:16" x14ac:dyDescent="0.25">
      <c r="A11" s="108" t="s">
        <v>169</v>
      </c>
      <c r="B11" s="276"/>
      <c r="C11" s="110"/>
      <c r="D11" s="277"/>
      <c r="E11" s="277">
        <v>952516</v>
      </c>
      <c r="F11" s="277">
        <v>29146.5</v>
      </c>
      <c r="G11" s="278">
        <f t="shared" si="1"/>
        <v>981662.5</v>
      </c>
    </row>
    <row r="12" spans="1:16" x14ac:dyDescent="0.25">
      <c r="A12" s="108" t="s">
        <v>170</v>
      </c>
      <c r="B12" s="276"/>
      <c r="C12" s="110"/>
      <c r="D12" s="277"/>
      <c r="E12" s="277">
        <v>1770118</v>
      </c>
      <c r="F12" s="277">
        <v>78202.5</v>
      </c>
      <c r="G12" s="278">
        <f t="shared" si="1"/>
        <v>1848320.5</v>
      </c>
    </row>
    <row r="13" spans="1:16" x14ac:dyDescent="0.25">
      <c r="A13" s="108" t="s">
        <v>171</v>
      </c>
      <c r="B13" s="276"/>
      <c r="C13" s="110"/>
      <c r="D13" s="277"/>
      <c r="E13" s="277">
        <v>141726</v>
      </c>
      <c r="F13" s="277">
        <v>15000</v>
      </c>
      <c r="G13" s="278">
        <f t="shared" si="1"/>
        <v>156726</v>
      </c>
    </row>
    <row r="14" spans="1:16" x14ac:dyDescent="0.25">
      <c r="A14" s="108" t="s">
        <v>172</v>
      </c>
      <c r="B14" s="276"/>
      <c r="C14" s="110"/>
      <c r="D14" s="277"/>
      <c r="E14" s="277">
        <v>442670</v>
      </c>
      <c r="F14" s="277">
        <v>77478</v>
      </c>
      <c r="G14" s="278">
        <f t="shared" si="1"/>
        <v>520148</v>
      </c>
    </row>
    <row r="15" spans="1:16" x14ac:dyDescent="0.25">
      <c r="A15" s="108" t="s">
        <v>173</v>
      </c>
      <c r="B15" s="276"/>
      <c r="C15" s="110"/>
      <c r="D15" s="277"/>
      <c r="E15" s="277">
        <v>2153240</v>
      </c>
      <c r="F15" s="277">
        <v>87957</v>
      </c>
      <c r="G15" s="278">
        <f t="shared" si="1"/>
        <v>2241197</v>
      </c>
    </row>
    <row r="16" spans="1:16" x14ac:dyDescent="0.25">
      <c r="A16" s="108" t="s">
        <v>174</v>
      </c>
      <c r="B16" s="276"/>
      <c r="C16" s="110"/>
      <c r="D16" s="277"/>
      <c r="E16" s="277">
        <v>169437</v>
      </c>
      <c r="F16" s="277">
        <v>15000</v>
      </c>
      <c r="G16" s="278">
        <f t="shared" si="1"/>
        <v>184437</v>
      </c>
    </row>
    <row r="17" spans="1:7" x14ac:dyDescent="0.25">
      <c r="A17" s="108" t="s">
        <v>175</v>
      </c>
      <c r="B17" s="276"/>
      <c r="C17" s="110"/>
      <c r="D17" s="277"/>
      <c r="E17" s="277">
        <v>1335447</v>
      </c>
      <c r="F17" s="277">
        <v>15000</v>
      </c>
      <c r="G17" s="278">
        <f t="shared" si="1"/>
        <v>1350447</v>
      </c>
    </row>
    <row r="18" spans="1:7" x14ac:dyDescent="0.25">
      <c r="A18" s="108" t="s">
        <v>176</v>
      </c>
      <c r="B18" s="276"/>
      <c r="C18" s="110"/>
      <c r="D18" s="277"/>
      <c r="E18" s="277">
        <v>18130</v>
      </c>
      <c r="F18" s="277">
        <v>15000</v>
      </c>
      <c r="G18" s="278">
        <f t="shared" si="1"/>
        <v>33130</v>
      </c>
    </row>
    <row r="19" spans="1:7" x14ac:dyDescent="0.25">
      <c r="A19" s="108" t="s">
        <v>177</v>
      </c>
      <c r="B19" s="276"/>
      <c r="C19" s="110"/>
      <c r="D19" s="277"/>
      <c r="E19" s="277">
        <v>768513</v>
      </c>
      <c r="F19" s="277">
        <v>37458</v>
      </c>
      <c r="G19" s="278">
        <f t="shared" si="1"/>
        <v>805971</v>
      </c>
    </row>
    <row r="20" spans="1:7" x14ac:dyDescent="0.25">
      <c r="A20" s="108" t="s">
        <v>178</v>
      </c>
      <c r="B20" s="276"/>
      <c r="C20" s="110"/>
      <c r="D20" s="277"/>
      <c r="E20" s="277">
        <v>414393</v>
      </c>
      <c r="F20" s="277">
        <v>35124</v>
      </c>
      <c r="G20" s="278">
        <f t="shared" si="1"/>
        <v>449517</v>
      </c>
    </row>
    <row r="21" spans="1:7" x14ac:dyDescent="0.25">
      <c r="A21" s="108" t="s">
        <v>179</v>
      </c>
      <c r="B21" s="276"/>
      <c r="C21" s="110"/>
      <c r="D21" s="277"/>
      <c r="E21" s="277">
        <v>181791</v>
      </c>
      <c r="F21" s="277">
        <v>15000</v>
      </c>
      <c r="G21" s="278">
        <f t="shared" si="1"/>
        <v>196791</v>
      </c>
    </row>
    <row r="22" spans="1:7" x14ac:dyDescent="0.25">
      <c r="A22" s="108" t="s">
        <v>180</v>
      </c>
      <c r="B22" s="276"/>
      <c r="C22" s="110"/>
      <c r="D22" s="277"/>
      <c r="E22" s="277">
        <v>201875</v>
      </c>
      <c r="F22" s="277">
        <v>15000</v>
      </c>
      <c r="G22" s="278">
        <f t="shared" si="1"/>
        <v>216875</v>
      </c>
    </row>
    <row r="23" spans="1:7" x14ac:dyDescent="0.25">
      <c r="A23" s="108" t="s">
        <v>181</v>
      </c>
      <c r="B23" s="276"/>
      <c r="C23" s="110"/>
      <c r="D23" s="277"/>
      <c r="E23" s="277">
        <v>601426</v>
      </c>
      <c r="F23" s="277">
        <v>15000</v>
      </c>
      <c r="G23" s="278">
        <f t="shared" si="1"/>
        <v>616426</v>
      </c>
    </row>
    <row r="24" spans="1:7" x14ac:dyDescent="0.25">
      <c r="A24" s="108" t="s">
        <v>182</v>
      </c>
      <c r="B24" s="276"/>
      <c r="C24" s="110"/>
      <c r="D24" s="277"/>
      <c r="E24" s="277">
        <v>924076</v>
      </c>
      <c r="F24" s="277">
        <v>42504</v>
      </c>
      <c r="G24" s="278">
        <f t="shared" si="1"/>
        <v>966580</v>
      </c>
    </row>
    <row r="25" spans="1:7" x14ac:dyDescent="0.25">
      <c r="A25" s="108" t="s">
        <v>183</v>
      </c>
      <c r="B25" s="276"/>
      <c r="C25" s="110"/>
      <c r="D25" s="277"/>
      <c r="E25" s="277">
        <v>132002</v>
      </c>
      <c r="F25" s="277">
        <v>15000</v>
      </c>
      <c r="G25" s="278">
        <f t="shared" si="1"/>
        <v>147002</v>
      </c>
    </row>
    <row r="26" spans="1:7" x14ac:dyDescent="0.25">
      <c r="A26" s="108" t="s">
        <v>184</v>
      </c>
      <c r="B26" s="276"/>
      <c r="C26" s="110"/>
      <c r="D26" s="277"/>
      <c r="E26" s="277">
        <v>333286</v>
      </c>
      <c r="F26" s="277">
        <v>15000</v>
      </c>
      <c r="G26" s="278">
        <f t="shared" si="1"/>
        <v>348286</v>
      </c>
    </row>
    <row r="27" spans="1:7" x14ac:dyDescent="0.25">
      <c r="A27" s="108" t="s">
        <v>185</v>
      </c>
      <c r="B27" s="276"/>
      <c r="C27" s="110"/>
      <c r="D27" s="277"/>
      <c r="E27" s="277">
        <v>38134</v>
      </c>
      <c r="F27" s="277">
        <v>15000</v>
      </c>
      <c r="G27" s="278">
        <f t="shared" si="1"/>
        <v>53134</v>
      </c>
    </row>
    <row r="28" spans="1:7" x14ac:dyDescent="0.25">
      <c r="A28" s="108" t="s">
        <v>186</v>
      </c>
      <c r="B28" s="276"/>
      <c r="C28" s="110"/>
      <c r="D28" s="277"/>
      <c r="E28" s="277">
        <v>1036563</v>
      </c>
      <c r="F28" s="277">
        <v>100144.5</v>
      </c>
      <c r="G28" s="278">
        <f t="shared" si="1"/>
        <v>1136707.5</v>
      </c>
    </row>
    <row r="29" spans="1:7" x14ac:dyDescent="0.25">
      <c r="A29" s="108" t="s">
        <v>187</v>
      </c>
      <c r="B29" s="276"/>
      <c r="C29" s="110"/>
      <c r="D29" s="277"/>
      <c r="E29" s="277">
        <v>52432</v>
      </c>
      <c r="F29" s="277">
        <v>15000</v>
      </c>
      <c r="G29" s="278">
        <f t="shared" si="1"/>
        <v>67432</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59</v>
      </c>
      <c r="B117" s="157">
        <f>COUNT(B9:B107)+COUNTIF(B9:B107,"X")</f>
        <v>0</v>
      </c>
      <c r="C117" s="158"/>
      <c r="D117" s="159">
        <f>SUM(D9:D107)</f>
        <v>0</v>
      </c>
      <c r="E117" s="159">
        <f>SUM(E9:E107)</f>
        <v>11939198</v>
      </c>
      <c r="F117" s="159">
        <f>SUM(F9:F107)</f>
        <v>851193</v>
      </c>
      <c r="G117" s="159">
        <f>SUM(G9:G107)</f>
        <v>12790391</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Z1" sqref="Z1"/>
    </sheetView>
  </sheetViews>
  <sheetFormatPr defaultColWidth="8.6640625" defaultRowHeight="13.8" x14ac:dyDescent="0.25"/>
  <cols>
    <col min="1" max="1" width="25.6640625" style="24" customWidth="1"/>
    <col min="2" max="2" width="9.44140625" style="24" customWidth="1"/>
    <col min="3" max="14" width="7.6640625" style="24" customWidth="1"/>
    <col min="15" max="15" width="8.5546875" style="24" customWidth="1"/>
    <col min="16" max="16" width="9.109375" style="24" customWidth="1"/>
    <col min="17" max="17" width="9.33203125" style="24" customWidth="1"/>
    <col min="18" max="25" width="8.5546875" style="24" customWidth="1"/>
    <col min="26" max="26" width="12.33203125" style="24" customWidth="1"/>
    <col min="27" max="16384" width="8.6640625" style="24"/>
  </cols>
  <sheetData>
    <row r="1" spans="1:26" ht="27.6" x14ac:dyDescent="0.25">
      <c r="A1" s="44" t="s">
        <v>0</v>
      </c>
      <c r="B1" s="356" t="str">
        <f>'A-Contracts-Partnerships Matrix'!B1</f>
        <v>NEW JERSEY</v>
      </c>
      <c r="C1" s="356"/>
      <c r="D1" s="39"/>
      <c r="E1" s="39"/>
      <c r="F1" s="39"/>
      <c r="G1" s="39"/>
      <c r="H1" s="39"/>
      <c r="I1" s="39"/>
      <c r="J1" s="39"/>
      <c r="K1" s="39"/>
      <c r="L1" s="39"/>
      <c r="M1" s="39"/>
      <c r="N1" s="39"/>
      <c r="O1" s="39"/>
      <c r="P1" s="39"/>
      <c r="Q1" s="39"/>
      <c r="R1" s="39"/>
      <c r="S1" s="39"/>
      <c r="T1" s="39"/>
      <c r="U1" s="39"/>
      <c r="V1" s="39"/>
      <c r="W1" s="39"/>
      <c r="X1" s="357" t="s">
        <v>2</v>
      </c>
      <c r="Y1" s="357"/>
      <c r="Z1" s="56" t="str">
        <f>'A-Contracts-Partnerships Matrix'!J1</f>
        <v>FY2025</v>
      </c>
    </row>
    <row r="2" spans="1:26" ht="15.6" x14ac:dyDescent="0.3">
      <c r="A2" s="323" t="s">
        <v>188</v>
      </c>
      <c r="B2" s="324"/>
      <c r="C2" s="324"/>
      <c r="D2" s="324"/>
      <c r="E2" s="324"/>
      <c r="F2" s="324"/>
      <c r="G2" s="324"/>
      <c r="H2" s="324"/>
      <c r="I2" s="324"/>
      <c r="J2" s="324"/>
      <c r="K2" s="324"/>
      <c r="L2" s="324"/>
      <c r="M2" s="324"/>
      <c r="N2" s="324"/>
      <c r="O2" s="324"/>
      <c r="P2" s="324"/>
      <c r="Q2" s="324"/>
      <c r="R2" s="324"/>
      <c r="S2" s="324"/>
      <c r="T2" s="324"/>
      <c r="U2" s="324"/>
      <c r="V2" s="324"/>
      <c r="W2" s="324"/>
      <c r="X2" s="324"/>
      <c r="Y2" s="324"/>
      <c r="Z2" s="347"/>
    </row>
    <row r="3" spans="1:26" ht="27.6" customHeight="1" x14ac:dyDescent="0.3">
      <c r="A3" s="353" t="s">
        <v>189</v>
      </c>
      <c r="B3" s="354"/>
      <c r="C3" s="354"/>
      <c r="D3" s="354"/>
      <c r="E3" s="354"/>
      <c r="F3" s="354"/>
      <c r="G3" s="354"/>
      <c r="H3" s="354"/>
      <c r="I3" s="354"/>
      <c r="J3" s="354"/>
      <c r="K3" s="354"/>
      <c r="L3" s="354"/>
      <c r="M3" s="354"/>
      <c r="N3" s="354"/>
      <c r="O3" s="354"/>
      <c r="P3" s="354"/>
      <c r="Q3" s="354"/>
      <c r="R3" s="354"/>
      <c r="S3" s="354"/>
      <c r="T3" s="354"/>
      <c r="U3" s="354"/>
      <c r="V3" s="354"/>
      <c r="W3" s="354"/>
      <c r="X3" s="354"/>
      <c r="Y3" s="354"/>
      <c r="Z3" s="355"/>
    </row>
    <row r="4" spans="1:26" ht="18" customHeight="1" x14ac:dyDescent="0.3">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 customHeight="1" x14ac:dyDescent="0.3">
      <c r="A5" s="194" t="s">
        <v>190</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5" customHeight="1" x14ac:dyDescent="0.25">
      <c r="A7" s="160"/>
      <c r="B7" s="358" t="s">
        <v>191</v>
      </c>
      <c r="C7" s="358"/>
      <c r="D7" s="358"/>
      <c r="E7" s="358"/>
      <c r="F7" s="358"/>
      <c r="G7" s="358"/>
      <c r="H7" s="358"/>
      <c r="I7" s="358"/>
      <c r="J7" s="358"/>
      <c r="K7" s="358"/>
      <c r="L7" s="358"/>
      <c r="M7" s="358"/>
      <c r="N7" s="358"/>
      <c r="O7" s="358"/>
      <c r="P7" s="358"/>
      <c r="Q7" s="358"/>
      <c r="R7" s="358"/>
      <c r="S7" s="358"/>
      <c r="T7" s="358"/>
      <c r="U7" s="358"/>
      <c r="V7" s="358"/>
      <c r="W7" s="358"/>
      <c r="X7" s="358"/>
      <c r="Y7" s="358"/>
      <c r="Z7" s="154" t="s">
        <v>192</v>
      </c>
    </row>
    <row r="8" spans="1:26" ht="27.6" x14ac:dyDescent="0.25">
      <c r="A8" s="161" t="s">
        <v>160</v>
      </c>
      <c r="B8" s="129" t="s">
        <v>193</v>
      </c>
      <c r="C8" s="129" t="s">
        <v>194</v>
      </c>
      <c r="D8" s="129" t="s">
        <v>195</v>
      </c>
      <c r="E8" s="129" t="s">
        <v>196</v>
      </c>
      <c r="F8" s="129" t="s">
        <v>197</v>
      </c>
      <c r="G8" s="129" t="s">
        <v>198</v>
      </c>
      <c r="H8" s="129" t="s">
        <v>199</v>
      </c>
      <c r="I8" s="129" t="s">
        <v>200</v>
      </c>
      <c r="J8" s="129" t="s">
        <v>201</v>
      </c>
      <c r="K8" s="129" t="s">
        <v>202</v>
      </c>
      <c r="L8" s="129" t="s">
        <v>203</v>
      </c>
      <c r="M8" s="129" t="s">
        <v>204</v>
      </c>
      <c r="N8" s="129" t="s">
        <v>205</v>
      </c>
      <c r="O8" s="162" t="s">
        <v>206</v>
      </c>
      <c r="P8" s="162" t="s">
        <v>207</v>
      </c>
      <c r="Q8" s="162" t="s">
        <v>208</v>
      </c>
      <c r="R8" s="162" t="s">
        <v>209</v>
      </c>
      <c r="S8" s="162" t="s">
        <v>210</v>
      </c>
      <c r="T8" s="162" t="s">
        <v>211</v>
      </c>
      <c r="U8" s="162" t="s">
        <v>212</v>
      </c>
      <c r="V8" s="162" t="s">
        <v>213</v>
      </c>
      <c r="W8" s="162" t="s">
        <v>214</v>
      </c>
      <c r="X8" s="163" t="s">
        <v>215</v>
      </c>
      <c r="Y8" s="163" t="s">
        <v>216</v>
      </c>
      <c r="Z8" s="164" t="s">
        <v>217</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218</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F25" sqref="F25"/>
    </sheetView>
  </sheetViews>
  <sheetFormatPr defaultColWidth="9.109375" defaultRowHeight="13.8" x14ac:dyDescent="0.25"/>
  <cols>
    <col min="1" max="1" width="34.109375" style="73" customWidth="1"/>
    <col min="2" max="2" width="37.5546875" style="73" customWidth="1"/>
    <col min="3" max="3" width="15.5546875" style="73" customWidth="1"/>
    <col min="4" max="4" width="21.33203125" style="73" customWidth="1"/>
    <col min="5" max="5" width="19.44140625" style="24" customWidth="1"/>
    <col min="6" max="16384" width="9.109375" style="24"/>
  </cols>
  <sheetData>
    <row r="1" spans="1:5" ht="27.6" x14ac:dyDescent="0.25">
      <c r="A1" s="44" t="s">
        <v>0</v>
      </c>
      <c r="B1" s="39" t="str">
        <f>'A-Contracts-Partnerships Matrix'!B1</f>
        <v>NEW JERSEY</v>
      </c>
      <c r="C1" s="40" t="s">
        <v>2</v>
      </c>
      <c r="D1" s="40"/>
      <c r="E1" s="56" t="str">
        <f>'A-Contracts-Partnerships Matrix'!J1</f>
        <v>FY2025</v>
      </c>
    </row>
    <row r="2" spans="1:5" ht="15.6" x14ac:dyDescent="0.3">
      <c r="A2" s="334" t="s">
        <v>219</v>
      </c>
      <c r="B2" s="335"/>
      <c r="C2" s="335"/>
      <c r="D2" s="335"/>
      <c r="E2" s="336"/>
    </row>
    <row r="3" spans="1:5" ht="51.6" customHeight="1" x14ac:dyDescent="0.3">
      <c r="A3" s="353" t="s">
        <v>220</v>
      </c>
      <c r="B3" s="362"/>
      <c r="C3" s="362"/>
      <c r="D3" s="362"/>
      <c r="E3" s="363"/>
    </row>
    <row r="4" spans="1:5" ht="14.4" x14ac:dyDescent="0.3">
      <c r="A4" s="69"/>
      <c r="B4" s="70" t="s">
        <v>221</v>
      </c>
      <c r="C4" s="270" t="s">
        <v>222</v>
      </c>
      <c r="D4" s="270" t="s">
        <v>223</v>
      </c>
      <c r="E4" s="71" t="s">
        <v>224</v>
      </c>
    </row>
    <row r="5" spans="1:5" x14ac:dyDescent="0.25">
      <c r="A5" s="359" t="s">
        <v>225</v>
      </c>
      <c r="B5" s="360"/>
      <c r="C5" s="360"/>
      <c r="D5" s="360"/>
      <c r="E5" s="361"/>
    </row>
    <row r="6" spans="1:5" ht="69" x14ac:dyDescent="0.25">
      <c r="A6" s="72" t="s">
        <v>226</v>
      </c>
      <c r="B6" s="73" t="s">
        <v>227</v>
      </c>
      <c r="C6" s="267">
        <v>100000</v>
      </c>
      <c r="D6" s="267"/>
      <c r="E6" s="272">
        <v>62240</v>
      </c>
    </row>
    <row r="7" spans="1:5" s="79" customFormat="1" ht="151.80000000000001" x14ac:dyDescent="0.25">
      <c r="A7" s="72" t="s">
        <v>228</v>
      </c>
      <c r="B7" s="73" t="s">
        <v>229</v>
      </c>
      <c r="C7" s="268" t="s">
        <v>230</v>
      </c>
      <c r="D7" s="279"/>
      <c r="E7" s="272">
        <v>62240</v>
      </c>
    </row>
    <row r="8" spans="1:5" s="79" customFormat="1" ht="27.6" x14ac:dyDescent="0.25">
      <c r="A8" s="72"/>
      <c r="B8" s="73"/>
      <c r="C8" s="268" t="s">
        <v>231</v>
      </c>
      <c r="D8" s="279"/>
      <c r="E8" s="272"/>
    </row>
    <row r="9" spans="1:5" s="79" customFormat="1" ht="27.6" x14ac:dyDescent="0.25">
      <c r="A9" s="72"/>
      <c r="B9" s="73"/>
      <c r="C9" s="268" t="s">
        <v>232</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233</v>
      </c>
      <c r="B12" s="73" t="s">
        <v>234</v>
      </c>
      <c r="C12" s="268" t="s">
        <v>235</v>
      </c>
      <c r="D12" s="268"/>
      <c r="E12" s="273">
        <f>SUM(E7:E11)</f>
        <v>62240</v>
      </c>
    </row>
    <row r="13" spans="1:5" ht="27.6" x14ac:dyDescent="0.25">
      <c r="A13" s="72" t="s">
        <v>236</v>
      </c>
      <c r="C13" s="269">
        <v>1</v>
      </c>
      <c r="D13" s="269"/>
      <c r="E13" s="74">
        <f>E12/E6</f>
        <v>1</v>
      </c>
    </row>
    <row r="14" spans="1:5" x14ac:dyDescent="0.25">
      <c r="A14" s="359" t="s">
        <v>237</v>
      </c>
      <c r="B14" s="360"/>
      <c r="C14" s="360"/>
      <c r="D14" s="360"/>
      <c r="E14" s="361"/>
    </row>
    <row r="15" spans="1:5" x14ac:dyDescent="0.25">
      <c r="A15" s="72" t="s">
        <v>238</v>
      </c>
      <c r="C15" s="267">
        <v>6500</v>
      </c>
      <c r="D15" s="267"/>
      <c r="E15" s="272">
        <v>31268</v>
      </c>
    </row>
    <row r="16" spans="1:5" ht="27.6" x14ac:dyDescent="0.25">
      <c r="A16" s="72" t="s">
        <v>239</v>
      </c>
      <c r="C16" s="268">
        <v>0</v>
      </c>
      <c r="D16" s="268"/>
      <c r="E16" s="272">
        <v>29972</v>
      </c>
    </row>
    <row r="17" spans="1:5" ht="41.4" x14ac:dyDescent="0.25">
      <c r="A17" s="72" t="s">
        <v>240</v>
      </c>
      <c r="C17" s="268">
        <v>250</v>
      </c>
      <c r="D17" s="268"/>
      <c r="E17" s="272">
        <v>1296</v>
      </c>
    </row>
    <row r="18" spans="1:5" ht="27.6" x14ac:dyDescent="0.25">
      <c r="A18" s="72" t="s">
        <v>241</v>
      </c>
      <c r="C18" s="267">
        <v>6250</v>
      </c>
      <c r="D18" s="267"/>
      <c r="E18" s="273">
        <f>E15-(E16+E17)</f>
        <v>0</v>
      </c>
    </row>
    <row r="19" spans="1:5" x14ac:dyDescent="0.25">
      <c r="A19" s="359" t="s">
        <v>242</v>
      </c>
      <c r="B19" s="360"/>
      <c r="C19" s="360"/>
      <c r="D19" s="360"/>
      <c r="E19" s="361"/>
    </row>
    <row r="20" spans="1:5" ht="27.6" x14ac:dyDescent="0.25">
      <c r="A20" s="72" t="s">
        <v>243</v>
      </c>
      <c r="C20" s="268">
        <v>0</v>
      </c>
      <c r="D20" s="268"/>
      <c r="E20" s="272">
        <v>0</v>
      </c>
    </row>
    <row r="21" spans="1:5" ht="27.6" x14ac:dyDescent="0.25">
      <c r="A21" s="72" t="s">
        <v>244</v>
      </c>
      <c r="C21" s="267">
        <v>2000</v>
      </c>
      <c r="D21" s="267"/>
      <c r="E21" s="272">
        <v>15560</v>
      </c>
    </row>
    <row r="22" spans="1:5" ht="27.6" x14ac:dyDescent="0.25">
      <c r="A22" s="72" t="s">
        <v>245</v>
      </c>
      <c r="C22" s="267">
        <v>2000</v>
      </c>
      <c r="D22" s="267"/>
      <c r="E22" s="273">
        <f>SUM(E20:E21)</f>
        <v>15560</v>
      </c>
    </row>
    <row r="23" spans="1:5" ht="27.6" x14ac:dyDescent="0.25">
      <c r="A23" s="72" t="s">
        <v>246</v>
      </c>
      <c r="B23" s="73" t="s">
        <v>247</v>
      </c>
      <c r="C23" s="268">
        <v>500</v>
      </c>
      <c r="D23" s="268"/>
      <c r="E23" s="272">
        <v>1296</v>
      </c>
    </row>
    <row r="24" spans="1:5" s="84" customFormat="1" x14ac:dyDescent="0.25">
      <c r="A24" s="359" t="s">
        <v>248</v>
      </c>
      <c r="B24" s="360"/>
      <c r="C24" s="360"/>
      <c r="D24" s="360"/>
      <c r="E24" s="361"/>
    </row>
    <row r="25" spans="1:5" ht="27.6" x14ac:dyDescent="0.25">
      <c r="A25" s="72" t="s">
        <v>249</v>
      </c>
      <c r="B25" s="73" t="s">
        <v>250</v>
      </c>
      <c r="C25" s="275">
        <v>2000</v>
      </c>
      <c r="D25" s="268"/>
      <c r="E25" s="272">
        <v>2000</v>
      </c>
    </row>
    <row r="26" spans="1:5" ht="28.2" thickBot="1" x14ac:dyDescent="0.3">
      <c r="A26" s="75" t="s">
        <v>251</v>
      </c>
      <c r="B26" s="76"/>
      <c r="C26" s="271">
        <v>1</v>
      </c>
      <c r="D26" s="271"/>
      <c r="E26" s="77">
        <f>E25/E22</f>
        <v>0.12853470437017994</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opLeftCell="A10" zoomScale="90" zoomScaleNormal="90" workbookViewId="0">
      <pane xSplit="1" topLeftCell="B1" activePane="topRight" state="frozen"/>
      <selection pane="topRight" activeCell="Q12" sqref="Q12"/>
    </sheetView>
  </sheetViews>
  <sheetFormatPr defaultColWidth="8.6640625" defaultRowHeight="13.8" x14ac:dyDescent="0.25"/>
  <cols>
    <col min="1" max="1" width="21.33203125" style="73" customWidth="1"/>
    <col min="2" max="10" width="30.6640625" style="73" customWidth="1"/>
    <col min="11" max="12" width="20.6640625" style="73" customWidth="1"/>
    <col min="13" max="18" width="18.6640625" style="73" customWidth="1"/>
    <col min="19" max="19" width="20.88671875" style="73" customWidth="1"/>
    <col min="20" max="20" width="13.109375" style="73" customWidth="1"/>
    <col min="21" max="21" width="11.33203125" style="178" customWidth="1"/>
    <col min="22" max="22" width="12" style="179" customWidth="1"/>
    <col min="23" max="23" width="12.5546875" style="180" customWidth="1"/>
    <col min="24" max="25" width="14.44140625" style="179" customWidth="1"/>
    <col min="26" max="26" width="13.109375" style="178" customWidth="1"/>
    <col min="27" max="27" width="19.6640625" style="178" customWidth="1"/>
    <col min="28" max="28" width="25.109375" style="73" customWidth="1"/>
    <col min="29" max="29" width="15.44140625" style="181" customWidth="1"/>
    <col min="30" max="30" width="19.109375" style="181" customWidth="1"/>
    <col min="31" max="31" width="19.6640625" style="24" customWidth="1"/>
    <col min="32" max="32" width="21.88671875" style="298" customWidth="1"/>
    <col min="33" max="16384" width="8.6640625" style="24"/>
  </cols>
  <sheetData>
    <row r="1" spans="1:32" ht="27.6" x14ac:dyDescent="0.25">
      <c r="A1" s="44" t="s">
        <v>0</v>
      </c>
      <c r="B1" s="39" t="str">
        <f>'A-Contracts-Partnerships Matrix'!B1</f>
        <v>NEW JERSEY</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5" customHeight="1" x14ac:dyDescent="0.25">
      <c r="A2" s="369" t="s">
        <v>252</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200"/>
    </row>
    <row r="3" spans="1:32" ht="19.2" customHeight="1" x14ac:dyDescent="0.25">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200"/>
    </row>
    <row r="4" spans="1:32" ht="14.4" x14ac:dyDescent="0.3">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253</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254</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2" customHeight="1" thickBot="1" x14ac:dyDescent="0.3">
      <c r="A8" s="200"/>
      <c r="S8" s="212" t="s">
        <v>255</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2" customHeight="1" thickBot="1" x14ac:dyDescent="0.3">
      <c r="A9" s="200"/>
      <c r="T9" s="200"/>
      <c r="U9" s="258"/>
      <c r="V9" s="259"/>
      <c r="W9" s="260"/>
      <c r="X9" s="259"/>
      <c r="Y9" s="259"/>
      <c r="Z9" s="258"/>
      <c r="AA9" s="258"/>
      <c r="AB9" s="200"/>
      <c r="AC9" s="258"/>
      <c r="AD9" s="258"/>
      <c r="AE9" s="258"/>
      <c r="AF9" s="300"/>
    </row>
    <row r="10" spans="1:32" ht="19.95" customHeight="1" thickBot="1" x14ac:dyDescent="0.35">
      <c r="A10" s="364" t="s">
        <v>256</v>
      </c>
      <c r="B10" s="365"/>
      <c r="C10" s="365"/>
      <c r="D10" s="365"/>
      <c r="E10" s="365"/>
      <c r="F10" s="365"/>
      <c r="G10" s="365"/>
      <c r="H10" s="365"/>
      <c r="I10" s="365"/>
      <c r="J10" s="365"/>
      <c r="K10" s="365"/>
      <c r="L10" s="365"/>
      <c r="M10" s="365"/>
      <c r="N10" s="365"/>
      <c r="O10" s="365"/>
      <c r="P10" s="365"/>
      <c r="Q10" s="365"/>
      <c r="R10" s="365"/>
      <c r="S10" s="366"/>
      <c r="T10" s="367" t="s">
        <v>257</v>
      </c>
      <c r="U10" s="368"/>
      <c r="V10" s="368"/>
      <c r="W10" s="368"/>
      <c r="X10" s="368"/>
      <c r="Y10" s="368"/>
      <c r="Z10" s="368"/>
      <c r="AA10" s="368"/>
      <c r="AB10" s="368"/>
      <c r="AC10" s="368"/>
      <c r="AD10" s="368"/>
      <c r="AE10" s="368"/>
      <c r="AF10" s="300"/>
    </row>
    <row r="11" spans="1:32" ht="159" customHeight="1" x14ac:dyDescent="0.25">
      <c r="A11" s="253" t="s">
        <v>258</v>
      </c>
      <c r="B11" s="254" t="s">
        <v>259</v>
      </c>
      <c r="C11" s="292" t="s">
        <v>260</v>
      </c>
      <c r="D11" s="292" t="s">
        <v>261</v>
      </c>
      <c r="E11" s="292" t="s">
        <v>262</v>
      </c>
      <c r="F11" s="292" t="s">
        <v>263</v>
      </c>
      <c r="G11" s="292" t="s">
        <v>264</v>
      </c>
      <c r="H11" s="292" t="s">
        <v>265</v>
      </c>
      <c r="I11" s="292" t="s">
        <v>266</v>
      </c>
      <c r="J11" s="292" t="s">
        <v>267</v>
      </c>
      <c r="K11" s="254" t="s">
        <v>268</v>
      </c>
      <c r="L11" s="292" t="s">
        <v>269</v>
      </c>
      <c r="M11" s="254" t="s">
        <v>270</v>
      </c>
      <c r="N11" s="254" t="s">
        <v>271</v>
      </c>
      <c r="O11" s="293" t="s">
        <v>272</v>
      </c>
      <c r="P11" s="293" t="s">
        <v>273</v>
      </c>
      <c r="Q11" s="262" t="s">
        <v>274</v>
      </c>
      <c r="R11" s="255" t="s">
        <v>275</v>
      </c>
      <c r="S11" s="266" t="s">
        <v>276</v>
      </c>
      <c r="T11" s="251" t="s">
        <v>277</v>
      </c>
      <c r="U11" s="216" t="s">
        <v>278</v>
      </c>
      <c r="V11" s="217" t="s">
        <v>279</v>
      </c>
      <c r="W11" s="218" t="s">
        <v>280</v>
      </c>
      <c r="X11" s="217" t="s">
        <v>281</v>
      </c>
      <c r="Y11" s="217" t="s">
        <v>282</v>
      </c>
      <c r="Z11" s="216" t="s">
        <v>283</v>
      </c>
      <c r="AA11" s="216" t="s">
        <v>284</v>
      </c>
      <c r="AB11" s="216" t="s">
        <v>285</v>
      </c>
      <c r="AC11" s="216" t="s">
        <v>286</v>
      </c>
      <c r="AD11" s="216" t="s">
        <v>287</v>
      </c>
      <c r="AE11" s="296" t="s">
        <v>288</v>
      </c>
    </row>
    <row r="12" spans="1:32" x14ac:dyDescent="0.25">
      <c r="A12" s="108"/>
      <c r="B12" s="109"/>
      <c r="C12" s="109"/>
      <c r="D12" s="109"/>
      <c r="E12" s="109"/>
      <c r="F12" s="109"/>
      <c r="G12" s="109"/>
      <c r="H12" s="109"/>
      <c r="I12" s="109"/>
      <c r="J12" s="109" t="s">
        <v>32</v>
      </c>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253</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27.6" x14ac:dyDescent="0.25">
      <c r="A91" s="239" t="s">
        <v>254</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4.4" thickBot="1" x14ac:dyDescent="0.3">
      <c r="A92" s="244" t="s">
        <v>255</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4.4" x14ac:dyDescent="0.3"/>
  <cols>
    <col min="1" max="4" width="26.109375" customWidth="1"/>
  </cols>
  <sheetData>
    <row r="1" spans="1:4" ht="42" customHeight="1" x14ac:dyDescent="0.3">
      <c r="A1" s="57" t="s">
        <v>291</v>
      </c>
      <c r="B1" s="58" t="s">
        <v>292</v>
      </c>
      <c r="C1" s="58" t="s">
        <v>293</v>
      </c>
      <c r="D1" s="59" t="s">
        <v>294</v>
      </c>
    </row>
    <row r="2" spans="1:4" x14ac:dyDescent="0.3">
      <c r="A2" s="16" t="s">
        <v>295</v>
      </c>
      <c r="B2" s="67">
        <v>3001371</v>
      </c>
      <c r="C2" s="68">
        <v>5175184</v>
      </c>
      <c r="D2" s="68"/>
    </row>
    <row r="3" spans="1:4" x14ac:dyDescent="0.3">
      <c r="A3" s="16" t="s">
        <v>296</v>
      </c>
      <c r="B3" s="67">
        <v>444783</v>
      </c>
      <c r="C3" s="68">
        <v>1268815</v>
      </c>
      <c r="D3" s="68"/>
    </row>
    <row r="4" spans="1:4" x14ac:dyDescent="0.3">
      <c r="A4" s="16" t="s">
        <v>297</v>
      </c>
      <c r="B4" s="67">
        <v>2156511</v>
      </c>
      <c r="C4" s="68">
        <v>5146105</v>
      </c>
      <c r="D4" s="68"/>
    </row>
    <row r="5" spans="1:4" x14ac:dyDescent="0.3">
      <c r="A5" s="16" t="s">
        <v>298</v>
      </c>
      <c r="B5" s="67">
        <v>845153</v>
      </c>
      <c r="C5" s="68">
        <v>4397869</v>
      </c>
      <c r="D5" s="68"/>
    </row>
    <row r="6" spans="1:4" x14ac:dyDescent="0.3">
      <c r="A6" s="16" t="s">
        <v>299</v>
      </c>
      <c r="B6" s="67">
        <v>13912768</v>
      </c>
      <c r="C6" s="68">
        <v>80884238</v>
      </c>
      <c r="D6" s="68"/>
    </row>
    <row r="7" spans="1:4" x14ac:dyDescent="0.3">
      <c r="A7" s="16" t="s">
        <v>300</v>
      </c>
      <c r="B7" s="67">
        <v>1542315</v>
      </c>
      <c r="C7" s="68">
        <v>16812290</v>
      </c>
      <c r="D7" s="68"/>
    </row>
    <row r="8" spans="1:4" x14ac:dyDescent="0.3">
      <c r="A8" s="16" t="s">
        <v>301</v>
      </c>
      <c r="B8" s="67">
        <v>854101</v>
      </c>
      <c r="C8" s="68">
        <v>4310318</v>
      </c>
      <c r="D8" s="68"/>
    </row>
    <row r="9" spans="1:4" x14ac:dyDescent="0.3">
      <c r="A9" s="16" t="s">
        <v>302</v>
      </c>
      <c r="B9" s="67">
        <v>347825</v>
      </c>
      <c r="C9" s="68">
        <v>420968</v>
      </c>
      <c r="D9" s="68"/>
    </row>
    <row r="10" spans="1:4" x14ac:dyDescent="0.3">
      <c r="A10" s="16" t="s">
        <v>303</v>
      </c>
      <c r="B10" s="67">
        <v>444231</v>
      </c>
      <c r="C10" s="68">
        <v>10563518</v>
      </c>
      <c r="D10" s="68"/>
    </row>
    <row r="11" spans="1:4" x14ac:dyDescent="0.3">
      <c r="A11" s="16" t="s">
        <v>304</v>
      </c>
      <c r="B11" s="67">
        <v>6122540</v>
      </c>
      <c r="C11" s="68">
        <v>102386</v>
      </c>
      <c r="D11" s="68"/>
    </row>
    <row r="12" spans="1:4" x14ac:dyDescent="0.3">
      <c r="A12" s="16" t="s">
        <v>305</v>
      </c>
      <c r="B12" s="67">
        <v>4302066</v>
      </c>
      <c r="C12" s="68">
        <v>1598829</v>
      </c>
      <c r="D12" s="68"/>
    </row>
    <row r="13" spans="1:4" x14ac:dyDescent="0.3">
      <c r="A13" s="16" t="s">
        <v>306</v>
      </c>
      <c r="B13" s="67">
        <v>100000</v>
      </c>
      <c r="C13" s="68">
        <v>34436</v>
      </c>
      <c r="D13" s="68"/>
    </row>
    <row r="14" spans="1:4" x14ac:dyDescent="0.3">
      <c r="A14" s="16" t="s">
        <v>307</v>
      </c>
      <c r="B14" s="67">
        <v>540131</v>
      </c>
      <c r="C14" s="68">
        <v>1542770</v>
      </c>
      <c r="D14" s="68"/>
    </row>
    <row r="15" spans="1:4" x14ac:dyDescent="0.3">
      <c r="A15" s="16" t="s">
        <v>308</v>
      </c>
      <c r="B15" s="67">
        <v>915588</v>
      </c>
      <c r="C15" s="68">
        <v>330544</v>
      </c>
      <c r="D15" s="68"/>
    </row>
    <row r="16" spans="1:4" x14ac:dyDescent="0.3">
      <c r="A16" s="16" t="s">
        <v>309</v>
      </c>
      <c r="B16" s="67">
        <v>7867326</v>
      </c>
      <c r="C16" s="68">
        <v>24522816</v>
      </c>
      <c r="D16" s="68"/>
    </row>
    <row r="17" spans="1:4" x14ac:dyDescent="0.3">
      <c r="A17" s="16" t="s">
        <v>310</v>
      </c>
      <c r="B17" s="67">
        <v>1427245</v>
      </c>
      <c r="C17" s="68">
        <v>4281179</v>
      </c>
      <c r="D17" s="68"/>
    </row>
    <row r="18" spans="1:4" x14ac:dyDescent="0.3">
      <c r="A18" s="16" t="s">
        <v>311</v>
      </c>
      <c r="B18" s="67">
        <v>499493</v>
      </c>
      <c r="C18" s="68">
        <v>674351</v>
      </c>
      <c r="D18" s="68"/>
    </row>
    <row r="19" spans="1:4" x14ac:dyDescent="0.3">
      <c r="A19" s="16" t="s">
        <v>312</v>
      </c>
      <c r="B19" s="67">
        <v>590081</v>
      </c>
      <c r="C19" s="68">
        <v>613441</v>
      </c>
      <c r="D19" s="68"/>
    </row>
    <row r="20" spans="1:4" x14ac:dyDescent="0.3">
      <c r="A20" s="16" t="s">
        <v>313</v>
      </c>
      <c r="B20" s="67">
        <v>1414039</v>
      </c>
      <c r="C20" s="68">
        <v>948690</v>
      </c>
      <c r="D20" s="68"/>
    </row>
    <row r="21" spans="1:4" x14ac:dyDescent="0.3">
      <c r="A21" s="16" t="s">
        <v>314</v>
      </c>
      <c r="B21" s="67">
        <v>1504382</v>
      </c>
      <c r="C21" s="68">
        <v>11898970</v>
      </c>
      <c r="D21" s="68"/>
    </row>
    <row r="22" spans="1:4" x14ac:dyDescent="0.3">
      <c r="A22" s="16" t="s">
        <v>315</v>
      </c>
      <c r="B22" s="67">
        <v>400606</v>
      </c>
      <c r="C22" s="68">
        <v>760337</v>
      </c>
      <c r="D22" s="68"/>
    </row>
    <row r="23" spans="1:4" x14ac:dyDescent="0.3">
      <c r="A23" s="16" t="s">
        <v>316</v>
      </c>
      <c r="B23" s="67">
        <v>2216740</v>
      </c>
      <c r="C23" s="68">
        <v>11041639</v>
      </c>
      <c r="D23" s="68"/>
    </row>
    <row r="24" spans="1:4" x14ac:dyDescent="0.3">
      <c r="A24" s="16" t="s">
        <v>317</v>
      </c>
      <c r="B24" s="67">
        <v>2999809</v>
      </c>
      <c r="C24" s="68">
        <v>5942834</v>
      </c>
      <c r="D24" s="68"/>
    </row>
    <row r="25" spans="1:4" x14ac:dyDescent="0.3">
      <c r="A25" s="16" t="s">
        <v>318</v>
      </c>
      <c r="B25" s="67">
        <v>2042857</v>
      </c>
      <c r="C25" s="68">
        <v>1049618</v>
      </c>
      <c r="D25" s="68"/>
    </row>
    <row r="26" spans="1:4" x14ac:dyDescent="0.3">
      <c r="A26" s="16" t="s">
        <v>319</v>
      </c>
      <c r="B26" s="67">
        <v>1282819</v>
      </c>
      <c r="C26" s="68">
        <v>4105728</v>
      </c>
      <c r="D26" s="68"/>
    </row>
    <row r="27" spans="1:4" x14ac:dyDescent="0.3">
      <c r="A27" s="16" t="s">
        <v>320</v>
      </c>
      <c r="B27" s="67">
        <v>1306915</v>
      </c>
      <c r="C27" s="68">
        <v>1538338</v>
      </c>
      <c r="D27" s="68"/>
    </row>
    <row r="28" spans="1:4" x14ac:dyDescent="0.3">
      <c r="A28" s="16" t="s">
        <v>321</v>
      </c>
      <c r="B28" s="67">
        <v>1484312</v>
      </c>
      <c r="C28" s="68">
        <v>3623768</v>
      </c>
      <c r="D28" s="68"/>
    </row>
    <row r="29" spans="1:4" x14ac:dyDescent="0.3">
      <c r="A29" s="16" t="s">
        <v>322</v>
      </c>
      <c r="B29" s="67">
        <v>207108</v>
      </c>
      <c r="C29" s="68">
        <v>89636</v>
      </c>
      <c r="D29" s="68"/>
    </row>
    <row r="30" spans="1:4" x14ac:dyDescent="0.3">
      <c r="A30" s="16" t="s">
        <v>323</v>
      </c>
      <c r="B30" s="67">
        <v>295386</v>
      </c>
      <c r="C30" s="68">
        <v>516734</v>
      </c>
      <c r="D30" s="68"/>
    </row>
    <row r="31" spans="1:4" x14ac:dyDescent="0.3">
      <c r="A31" s="16" t="s">
        <v>324</v>
      </c>
      <c r="B31" s="67">
        <v>1503375</v>
      </c>
      <c r="C31" s="68">
        <v>50332</v>
      </c>
      <c r="D31" s="68"/>
    </row>
    <row r="32" spans="1:4" x14ac:dyDescent="0.3">
      <c r="A32" s="16" t="s">
        <v>325</v>
      </c>
      <c r="B32" s="67">
        <v>186517</v>
      </c>
      <c r="C32" s="68">
        <v>68428</v>
      </c>
      <c r="D32" s="68"/>
    </row>
    <row r="33" spans="1:4" x14ac:dyDescent="0.3">
      <c r="A33" s="16" t="s">
        <v>1</v>
      </c>
      <c r="B33" s="67">
        <v>593088</v>
      </c>
      <c r="C33" s="68">
        <v>28186767</v>
      </c>
      <c r="D33" s="68"/>
    </row>
    <row r="34" spans="1:4" x14ac:dyDescent="0.3">
      <c r="A34" s="16" t="s">
        <v>326</v>
      </c>
      <c r="B34" s="67">
        <v>1426444</v>
      </c>
      <c r="C34" s="68">
        <v>10000</v>
      </c>
      <c r="D34" s="68"/>
    </row>
    <row r="35" spans="1:4" x14ac:dyDescent="0.3">
      <c r="A35" s="16" t="s">
        <v>327</v>
      </c>
      <c r="B35" s="67">
        <v>6276963</v>
      </c>
      <c r="C35" s="68">
        <v>95814665</v>
      </c>
      <c r="D35" s="68"/>
    </row>
    <row r="36" spans="1:4" x14ac:dyDescent="0.3">
      <c r="A36" s="16" t="s">
        <v>328</v>
      </c>
      <c r="B36" s="67">
        <v>3835353</v>
      </c>
      <c r="C36" s="68">
        <v>5845582</v>
      </c>
      <c r="D36" s="68"/>
    </row>
    <row r="37" spans="1:4" x14ac:dyDescent="0.3">
      <c r="A37" s="16" t="s">
        <v>329</v>
      </c>
      <c r="B37" s="67">
        <v>100000</v>
      </c>
      <c r="C37" s="68">
        <v>577666</v>
      </c>
      <c r="D37" s="68"/>
    </row>
    <row r="38" spans="1:4" x14ac:dyDescent="0.3">
      <c r="A38" s="16" t="s">
        <v>330</v>
      </c>
      <c r="B38" s="67">
        <v>2726487</v>
      </c>
      <c r="C38" s="68">
        <v>11475700</v>
      </c>
      <c r="D38" s="68"/>
    </row>
    <row r="39" spans="1:4" x14ac:dyDescent="0.3">
      <c r="A39" s="16" t="s">
        <v>331</v>
      </c>
      <c r="B39" s="67">
        <v>1986510</v>
      </c>
      <c r="C39" s="68">
        <v>5771131</v>
      </c>
      <c r="D39" s="68"/>
    </row>
    <row r="40" spans="1:4" x14ac:dyDescent="0.3">
      <c r="A40" s="16" t="s">
        <v>332</v>
      </c>
      <c r="B40" s="67">
        <v>2564273</v>
      </c>
      <c r="C40" s="68">
        <v>36551572</v>
      </c>
      <c r="D40" s="68"/>
    </row>
    <row r="41" spans="1:4" x14ac:dyDescent="0.3">
      <c r="A41" s="16" t="s">
        <v>333</v>
      </c>
      <c r="B41" s="67">
        <v>5124029</v>
      </c>
      <c r="C41" s="68">
        <v>11217343</v>
      </c>
      <c r="D41" s="68"/>
    </row>
    <row r="42" spans="1:4" x14ac:dyDescent="0.3">
      <c r="A42" s="16" t="s">
        <v>334</v>
      </c>
      <c r="B42" s="67">
        <v>372392</v>
      </c>
      <c r="C42" s="68">
        <v>2412953</v>
      </c>
      <c r="D42" s="68"/>
    </row>
    <row r="43" spans="1:4" x14ac:dyDescent="0.3">
      <c r="A43" s="16" t="s">
        <v>335</v>
      </c>
      <c r="B43" s="67">
        <v>1578228</v>
      </c>
      <c r="C43" s="68">
        <v>1384566</v>
      </c>
      <c r="D43" s="68"/>
    </row>
    <row r="44" spans="1:4" x14ac:dyDescent="0.3">
      <c r="A44" s="16" t="s">
        <v>336</v>
      </c>
      <c r="B44" s="67">
        <v>176820</v>
      </c>
      <c r="C44" s="68">
        <v>10000</v>
      </c>
      <c r="D44" s="68"/>
    </row>
    <row r="45" spans="1:4" x14ac:dyDescent="0.3">
      <c r="A45" s="16" t="s">
        <v>337</v>
      </c>
      <c r="B45" s="67">
        <v>2371598</v>
      </c>
      <c r="C45" s="68">
        <v>10548543</v>
      </c>
      <c r="D45" s="68"/>
    </row>
    <row r="46" spans="1:4" x14ac:dyDescent="0.3">
      <c r="A46" s="16" t="s">
        <v>338</v>
      </c>
      <c r="B46" s="67">
        <v>5259331</v>
      </c>
      <c r="C46" s="68">
        <v>9194500</v>
      </c>
      <c r="D46" s="68"/>
    </row>
    <row r="47" spans="1:4" x14ac:dyDescent="0.3">
      <c r="A47" s="16" t="s">
        <v>339</v>
      </c>
      <c r="B47" s="67">
        <v>377464</v>
      </c>
      <c r="C47" s="68">
        <v>34822</v>
      </c>
      <c r="D47" s="68"/>
    </row>
    <row r="48" spans="1:4" x14ac:dyDescent="0.3">
      <c r="A48" s="16" t="s">
        <v>340</v>
      </c>
      <c r="B48" s="67">
        <v>147853</v>
      </c>
      <c r="C48" s="68">
        <v>2677993</v>
      </c>
      <c r="D48" s="68"/>
    </row>
    <row r="49" spans="1:4" x14ac:dyDescent="0.3">
      <c r="A49" s="16" t="s">
        <v>341</v>
      </c>
      <c r="B49" s="67">
        <v>838196</v>
      </c>
      <c r="C49" s="68">
        <v>9393064</v>
      </c>
      <c r="D49" s="68"/>
    </row>
    <row r="50" spans="1:4" x14ac:dyDescent="0.3">
      <c r="A50" s="16" t="s">
        <v>342</v>
      </c>
      <c r="B50" s="67">
        <v>100000</v>
      </c>
      <c r="C50" s="68">
        <v>10000</v>
      </c>
      <c r="D50" s="68"/>
    </row>
    <row r="51" spans="1:4" x14ac:dyDescent="0.3">
      <c r="A51" s="16" t="s">
        <v>343</v>
      </c>
      <c r="B51" s="67">
        <v>2615422</v>
      </c>
      <c r="C51" s="68">
        <v>30566086</v>
      </c>
      <c r="D51" s="68"/>
    </row>
    <row r="52" spans="1:4" x14ac:dyDescent="0.3">
      <c r="A52" s="16" t="s">
        <v>344</v>
      </c>
      <c r="B52" s="67">
        <v>629008</v>
      </c>
      <c r="C52" s="68">
        <v>471918</v>
      </c>
      <c r="D52" s="68"/>
    </row>
    <row r="53" spans="1:4" x14ac:dyDescent="0.3">
      <c r="A53" s="16" t="s">
        <v>345</v>
      </c>
      <c r="B53" s="67">
        <v>1942148</v>
      </c>
      <c r="C53" s="68">
        <v>33794149</v>
      </c>
      <c r="D53" s="68"/>
    </row>
    <row r="54" spans="1:4" x14ac:dyDescent="0.3">
      <c r="A54" s="16" t="s">
        <v>346</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A3DC1CF0D974468939941F7B6AD8B3" ma:contentTypeVersion="4" ma:contentTypeDescription="Create a new document." ma:contentTypeScope="" ma:versionID="18f19971fcbfaa22499cb6f673bf6a05">
  <xsd:schema xmlns:xsd="http://www.w3.org/2001/XMLSchema" xmlns:xs="http://www.w3.org/2001/XMLSchema" xmlns:p="http://schemas.microsoft.com/office/2006/metadata/properties" xmlns:ns2="53e5a9f0-6614-4a9e-b2d4-bdf1352623f7" targetNamespace="http://schemas.microsoft.com/office/2006/metadata/properties" ma:root="true" ma:fieldsID="3c2a8af96babc1097784582fc566e59f" ns2:_="">
    <xsd:import namespace="53e5a9f0-6614-4a9e-b2d4-bdf1352623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5a9f0-6614-4a9e-b2d4-bdf135262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EE169B-9088-4367-8603-7D67C86A37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5a9f0-6614-4a9e-b2d4-bdf1352623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29C5A2-5A47-49CE-95CF-41A36848027F}">
  <ds:schemaRefs>
    <ds:schemaRef ds:uri="53e5a9f0-6614-4a9e-b2d4-bdf1352623f7"/>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0B32E361-A271-44D2-8A30-F5F83239E2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Carmichael, Marjorie</cp:lastModifiedBy>
  <cp:revision/>
  <dcterms:created xsi:type="dcterms:W3CDTF">2019-10-18T16:48:06Z</dcterms:created>
  <dcterms:modified xsi:type="dcterms:W3CDTF">2024-11-27T18:32:09Z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0x0101008BA3DC1CF0D974468939941F7B6AD8B3</vt:lpwstr>
  </property>
</Properties>
</file>